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ela.mujkic\Desktop\Godišnji izvjestaji\2022 ZIF prevent INVEST\"/>
    </mc:Choice>
  </mc:AlternateContent>
  <xr:revisionPtr revIDLastSave="0" documentId="8_{F99F07C7-D34D-48CB-B1C3-7E49E6059027}" xr6:coauthVersionLast="36" xr6:coauthVersionMax="36" xr10:uidLastSave="{00000000-0000-0000-0000-000000000000}"/>
  <bookViews>
    <workbookView xWindow="0" yWindow="0" windowWidth="25200" windowHeight="11355" tabRatio="619" firstSheet="3" activeTab="4" xr2:uid="{00000000-000D-0000-FFFF-FFFF00000000}"/>
  </bookViews>
  <sheets>
    <sheet name="#Konverter" sheetId="88" state="hidden" r:id="rId1"/>
    <sheet name="#UNOS" sheetId="95" state="hidden" r:id="rId2"/>
    <sheet name="Uputstvo" sheetId="97" r:id="rId3"/>
    <sheet name="OsnPodaci" sheetId="2" r:id="rId4"/>
    <sheet name="BS" sheetId="89" r:id="rId5"/>
    <sheet name="BU" sheetId="90" r:id="rId6"/>
    <sheet name="GTDIR" sheetId="92" r:id="rId7"/>
    <sheet name="IPNI" sheetId="73" r:id="rId8"/>
    <sheet name="PP" sheetId="25" r:id="rId9"/>
    <sheet name="INV01-1" sheetId="76" r:id="rId10"/>
    <sheet name="INV01-2" sheetId="77" r:id="rId11"/>
    <sheet name="VN" sheetId="86" r:id="rId12"/>
    <sheet name="ZS" sheetId="87" r:id="rId13"/>
    <sheet name="ObavijRazvrst" sheetId="93" r:id="rId14"/>
    <sheet name="IzjStandard" sheetId="94" r:id="rId15"/>
    <sheet name="IzjNeaktiv" sheetId="41" r:id="rId16"/>
  </sheets>
  <externalReferences>
    <externalReference r:id="rId17"/>
    <externalReference r:id="rId18"/>
  </externalReferences>
  <definedNames>
    <definedName name="Grad" localSheetId="1">#REF!</definedName>
    <definedName name="Grad" localSheetId="14">#REF!</definedName>
    <definedName name="Grad" localSheetId="13">#REF!</definedName>
    <definedName name="Grad">#REF!</definedName>
    <definedName name="Kanton" localSheetId="1">#REF!</definedName>
    <definedName name="Kanton" localSheetId="14">#REF!</definedName>
    <definedName name="Kanton" localSheetId="13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4" hidden="1">'[1]#Konverter'!$AA$2:$AA$6</definedName>
    <definedName name="OblikPreduzeca" localSheetId="5" hidden="1">'[1]#Konverter'!$AA$2:$AA$6</definedName>
    <definedName name="OblikPreduzeca" localSheetId="6">#REF!</definedName>
    <definedName name="OblikPreduzeca" localSheetId="14">#REF!</definedName>
    <definedName name="OblikPreduzeca" localSheetId="13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4" hidden="1">'[1]#Konverter'!$E$2:$E$80</definedName>
    <definedName name="Opstina" localSheetId="5" hidden="1">'[1]#Konverter'!$E$2:$E$80</definedName>
    <definedName name="Opstina" localSheetId="6">#REF!</definedName>
    <definedName name="Opstina" localSheetId="14">#REF!</definedName>
    <definedName name="Opstina" localSheetId="13" hidden="1">'[1]#Konverter'!$E$2:$E$80</definedName>
    <definedName name="Opstina" localSheetId="2">'[2]#Konverter'!$E$2:$E$80</definedName>
    <definedName name="Opstina">#REF!</definedName>
    <definedName name="_xlnm.Print_Area" localSheetId="4">BS!$B$1:$J$109</definedName>
    <definedName name="TipFonda">#REF!</definedName>
    <definedName name="TipIzvjestaja" localSheetId="0" hidden="1">'[1]#Konverter'!$AF$2:$AF$33</definedName>
    <definedName name="TipIzvjestaja" localSheetId="1" hidden="1">'[1]#Konverter'!$AF$2:$AF$33</definedName>
    <definedName name="TipIzvjestaja" localSheetId="4" hidden="1">'[1]#Konverter'!$AF$2:$AF$33</definedName>
    <definedName name="TipIzvjestaja" localSheetId="5" hidden="1">'[1]#Konverter'!$AF$2:$AF$33</definedName>
    <definedName name="TipIzvjestaja" localSheetId="6" hidden="1">'[1]#Konverter'!$AF$2:$AF$33</definedName>
    <definedName name="TipIzvjestaja" localSheetId="14" hidden="1">'[1]#Konverter'!$AF$2:$AF$33</definedName>
    <definedName name="TipIzvjestaja" localSheetId="13" hidden="1">'[1]#Konverter'!$AF$2:$AF$33</definedName>
    <definedName name="TipIzvjestaja" localSheetId="2">'[2]#Konverter'!$AF$2:$AF$33</definedName>
    <definedName name="TipIzvjestaja">#REF!</definedName>
    <definedName name="Velicina" localSheetId="0" hidden="1">'[1]#Konverter'!$AH$2:$AH$4</definedName>
    <definedName name="Velicina" localSheetId="1" hidden="1">'[1]#Konverter'!$AH$2:$AH$4</definedName>
    <definedName name="Velicina" localSheetId="4" hidden="1">'[1]#Konverter'!$AH$2:$AH$4</definedName>
    <definedName name="Velicina" localSheetId="5" hidden="1">'[1]#Konverter'!$AH$2:$AH$4</definedName>
    <definedName name="Velicina" localSheetId="6">#REF!</definedName>
    <definedName name="Velicina" localSheetId="14">#REF!</definedName>
    <definedName name="Velicina" localSheetId="13" hidden="1">'[1]#Konverter'!$AH$2:$AH$4</definedName>
    <definedName name="Velicina">#REF!</definedName>
    <definedName name="VerzijaIzvjestaja" localSheetId="1">#REF!</definedName>
    <definedName name="VerzijaIzvjestaja" localSheetId="14">#REF!</definedName>
    <definedName name="VerzijaIzvjestaja" localSheetId="13">#REF!</definedName>
    <definedName name="VerzijaIzvjestaja">#REF!</definedName>
  </definedNames>
  <calcPr calcId="191029"/>
</workbook>
</file>

<file path=xl/calcChain.xml><?xml version="1.0" encoding="utf-8"?>
<calcChain xmlns="http://schemas.openxmlformats.org/spreadsheetml/2006/main">
  <c r="BT45" i="77" l="1"/>
  <c r="C44" i="92"/>
  <c r="P32" i="41"/>
  <c r="B32" i="41"/>
  <c r="B23" i="41"/>
  <c r="B18" i="41"/>
  <c r="B12" i="41"/>
  <c r="B3" i="41"/>
  <c r="B2" i="41"/>
  <c r="B1" i="41"/>
  <c r="B16" i="41" s="1"/>
  <c r="F22" i="94"/>
  <c r="C22" i="94"/>
  <c r="C20" i="94"/>
  <c r="B18" i="94" s="1"/>
  <c r="B19" i="94" s="1"/>
  <c r="B20" i="94" s="1"/>
  <c r="C17" i="94"/>
  <c r="C13" i="94"/>
  <c r="D12" i="94"/>
  <c r="C4" i="94"/>
  <c r="C3" i="94"/>
  <c r="C2" i="94"/>
  <c r="C1" i="94"/>
  <c r="F31" i="93"/>
  <c r="C31" i="93"/>
  <c r="B22" i="93"/>
  <c r="B21" i="93"/>
  <c r="C20" i="93"/>
  <c r="B20" i="93"/>
  <c r="F19" i="93"/>
  <c r="B19" i="93" s="1"/>
  <c r="C17" i="93"/>
  <c r="C15" i="93"/>
  <c r="C13" i="93"/>
  <c r="C4" i="93"/>
  <c r="C3" i="93"/>
  <c r="C2" i="93"/>
  <c r="C1" i="93"/>
  <c r="C47" i="87"/>
  <c r="AO38" i="87"/>
  <c r="C38" i="87"/>
  <c r="C35" i="87"/>
  <c r="AI32" i="87"/>
  <c r="B32" i="87" s="1"/>
  <c r="AI31" i="87"/>
  <c r="B31" i="87" s="1"/>
  <c r="B29" i="87"/>
  <c r="B28" i="87"/>
  <c r="C24" i="87"/>
  <c r="C23" i="87"/>
  <c r="AO18" i="87"/>
  <c r="AN14" i="87"/>
  <c r="C14" i="87"/>
  <c r="C11" i="87"/>
  <c r="C8" i="87"/>
  <c r="BH38" i="86"/>
  <c r="J38" i="86"/>
  <c r="AW36" i="86"/>
  <c r="H36" i="86" s="1"/>
  <c r="AR35" i="86"/>
  <c r="BB35" i="86" s="1"/>
  <c r="I35" i="86" s="1"/>
  <c r="H35" i="86"/>
  <c r="F35" i="86"/>
  <c r="AR34" i="86"/>
  <c r="BB34" i="86" s="1"/>
  <c r="I34" i="86" s="1"/>
  <c r="H34" i="86"/>
  <c r="F34" i="86"/>
  <c r="AR33" i="86"/>
  <c r="H33" i="86"/>
  <c r="F33" i="86"/>
  <c r="AR32" i="86"/>
  <c r="G32" i="86" s="1"/>
  <c r="H32" i="86"/>
  <c r="F32" i="86"/>
  <c r="AR31" i="86"/>
  <c r="G31" i="86" s="1"/>
  <c r="H31" i="86"/>
  <c r="F31" i="86"/>
  <c r="BB30" i="86"/>
  <c r="I30" i="86" s="1"/>
  <c r="AR30" i="86"/>
  <c r="G30" i="86" s="1"/>
  <c r="H30" i="86"/>
  <c r="F30" i="86"/>
  <c r="AR29" i="86"/>
  <c r="BB29" i="86" s="1"/>
  <c r="I29" i="86" s="1"/>
  <c r="H29" i="86"/>
  <c r="F29" i="86"/>
  <c r="BB28" i="86"/>
  <c r="I28" i="86" s="1"/>
  <c r="AR28" i="86"/>
  <c r="G28" i="86" s="1"/>
  <c r="H28" i="86"/>
  <c r="F28" i="86"/>
  <c r="AR27" i="86"/>
  <c r="BB27" i="86" s="1"/>
  <c r="I27" i="86" s="1"/>
  <c r="H27" i="86"/>
  <c r="G27" i="86"/>
  <c r="F27" i="86"/>
  <c r="AR26" i="86"/>
  <c r="BB26" i="86" s="1"/>
  <c r="I26" i="86" s="1"/>
  <c r="H26" i="86"/>
  <c r="F26" i="86"/>
  <c r="AR25" i="86"/>
  <c r="H25" i="86"/>
  <c r="F25" i="86"/>
  <c r="BB24" i="86"/>
  <c r="I24" i="86" s="1"/>
  <c r="AR24" i="86"/>
  <c r="G24" i="86" s="1"/>
  <c r="H24" i="86"/>
  <c r="F24" i="86"/>
  <c r="AR23" i="86"/>
  <c r="G23" i="86" s="1"/>
  <c r="H23" i="86"/>
  <c r="F23" i="86"/>
  <c r="AR22" i="86"/>
  <c r="G22" i="86" s="1"/>
  <c r="H22" i="86"/>
  <c r="F22" i="86"/>
  <c r="AR21" i="86"/>
  <c r="H21" i="86"/>
  <c r="F21" i="86"/>
  <c r="J16" i="86"/>
  <c r="J15" i="86"/>
  <c r="AY7" i="86"/>
  <c r="J7" i="86"/>
  <c r="BH4" i="86"/>
  <c r="J4" i="86"/>
  <c r="J1" i="86"/>
  <c r="AY87" i="77"/>
  <c r="AY86" i="77"/>
  <c r="J86" i="77"/>
  <c r="AY85" i="77"/>
  <c r="K81" i="77"/>
  <c r="H81" i="77"/>
  <c r="G81" i="77"/>
  <c r="F81" i="77"/>
  <c r="E81" i="77"/>
  <c r="K80" i="77"/>
  <c r="H80" i="77"/>
  <c r="G80" i="77"/>
  <c r="F80" i="77"/>
  <c r="E80" i="77"/>
  <c r="H78" i="77"/>
  <c r="G78" i="77"/>
  <c r="F78" i="77"/>
  <c r="E78" i="77"/>
  <c r="H77" i="77"/>
  <c r="G77" i="77"/>
  <c r="F77" i="77"/>
  <c r="E77" i="77"/>
  <c r="K76" i="77"/>
  <c r="H76" i="77"/>
  <c r="G76" i="77"/>
  <c r="F76" i="77"/>
  <c r="E76" i="77"/>
  <c r="H75" i="77"/>
  <c r="G75" i="77"/>
  <c r="F75" i="77"/>
  <c r="E75" i="77"/>
  <c r="H74" i="77"/>
  <c r="G74" i="77"/>
  <c r="F74" i="77"/>
  <c r="E74" i="77"/>
  <c r="H73" i="77"/>
  <c r="G73" i="77"/>
  <c r="F73" i="77"/>
  <c r="E73" i="77"/>
  <c r="H72" i="77"/>
  <c r="G72" i="77"/>
  <c r="F72" i="77"/>
  <c r="E72" i="77"/>
  <c r="CF71" i="77"/>
  <c r="H71" i="77" s="1"/>
  <c r="BR71" i="77"/>
  <c r="G71" i="77" s="1"/>
  <c r="BD71" i="77"/>
  <c r="F71" i="77" s="1"/>
  <c r="AP71" i="77"/>
  <c r="E71" i="77" s="1"/>
  <c r="K71" i="77"/>
  <c r="H70" i="77"/>
  <c r="G70" i="77"/>
  <c r="F70" i="77"/>
  <c r="E70" i="77"/>
  <c r="H69" i="77"/>
  <c r="G69" i="77"/>
  <c r="F69" i="77"/>
  <c r="E69" i="77"/>
  <c r="K68" i="77"/>
  <c r="H68" i="77"/>
  <c r="G68" i="77"/>
  <c r="F68" i="77"/>
  <c r="E68" i="77"/>
  <c r="H67" i="77"/>
  <c r="G67" i="77"/>
  <c r="F67" i="77"/>
  <c r="E67" i="77"/>
  <c r="AV62" i="77"/>
  <c r="AR58" i="77"/>
  <c r="AV64" i="77" s="1"/>
  <c r="CD55" i="77"/>
  <c r="BP55" i="77"/>
  <c r="BB55" i="77"/>
  <c r="J52" i="77"/>
  <c r="E45" i="77"/>
  <c r="H45" i="77"/>
  <c r="G45" i="77"/>
  <c r="BT44" i="77"/>
  <c r="E44" i="77" s="1"/>
  <c r="H44" i="77"/>
  <c r="G44" i="77"/>
  <c r="F44" i="77"/>
  <c r="BT43" i="77"/>
  <c r="E43" i="77" s="1"/>
  <c r="H43" i="77"/>
  <c r="G43" i="77"/>
  <c r="F43" i="77"/>
  <c r="H42" i="77"/>
  <c r="G42" i="77"/>
  <c r="F42" i="77"/>
  <c r="E42" i="77"/>
  <c r="BT41" i="77"/>
  <c r="E41" i="77" s="1"/>
  <c r="F41" i="77"/>
  <c r="BT40" i="77"/>
  <c r="E40" i="77" s="1"/>
  <c r="H40" i="77"/>
  <c r="G40" i="77"/>
  <c r="F40" i="77"/>
  <c r="BT39" i="77"/>
  <c r="H39" i="77"/>
  <c r="G39" i="77"/>
  <c r="F39" i="77"/>
  <c r="E39" i="77"/>
  <c r="BT38" i="77"/>
  <c r="E38" i="77" s="1"/>
  <c r="H38" i="77"/>
  <c r="G38" i="77"/>
  <c r="F38" i="77"/>
  <c r="BT37" i="77"/>
  <c r="E37" i="77" s="1"/>
  <c r="H37" i="77"/>
  <c r="G37" i="77"/>
  <c r="F37" i="77"/>
  <c r="BT36" i="77"/>
  <c r="E36" i="77" s="1"/>
  <c r="H36" i="77"/>
  <c r="G36" i="77"/>
  <c r="F36" i="77"/>
  <c r="BT35" i="77"/>
  <c r="H35" i="77"/>
  <c r="G35" i="77"/>
  <c r="F35" i="77"/>
  <c r="E35" i="77"/>
  <c r="CL34" i="77" a="1"/>
  <c r="CL34" i="77" s="1"/>
  <c r="H34" i="77" s="1"/>
  <c r="CF34" i="77" a="1"/>
  <c r="CF34" i="77" s="1"/>
  <c r="BZ34" i="77" a="1"/>
  <c r="BZ34" i="77" s="1"/>
  <c r="BT33" i="77"/>
  <c r="E33" i="77" s="1"/>
  <c r="H33" i="77"/>
  <c r="G33" i="77"/>
  <c r="F33" i="77"/>
  <c r="BT32" i="77"/>
  <c r="E32" i="77" s="1"/>
  <c r="H32" i="77"/>
  <c r="G32" i="77"/>
  <c r="F32" i="77"/>
  <c r="BT30" i="77"/>
  <c r="E30" i="77" s="1"/>
  <c r="H30" i="77"/>
  <c r="G30" i="77"/>
  <c r="F30" i="77"/>
  <c r="BT29" i="77"/>
  <c r="E29" i="77" s="1"/>
  <c r="H29" i="77"/>
  <c r="G29" i="77"/>
  <c r="F29" i="77"/>
  <c r="CL28" i="77" a="1"/>
  <c r="CL28" i="77" s="1"/>
  <c r="H28" i="77" s="1"/>
  <c r="CF28" i="77" a="1"/>
  <c r="CF28" i="77" s="1"/>
  <c r="BT28" i="77" s="1"/>
  <c r="E28" i="77" s="1"/>
  <c r="BZ28" i="77" a="1"/>
  <c r="BZ28" i="77" s="1"/>
  <c r="F28" i="77" s="1"/>
  <c r="BT27" i="77"/>
  <c r="E27" i="77" s="1"/>
  <c r="F27" i="77"/>
  <c r="BT26" i="77"/>
  <c r="H26" i="77"/>
  <c r="G26" i="77"/>
  <c r="F26" i="77"/>
  <c r="E26" i="77"/>
  <c r="BT25" i="77"/>
  <c r="E25" i="77" s="1"/>
  <c r="H25" i="77"/>
  <c r="G25" i="77"/>
  <c r="F25" i="77"/>
  <c r="BT24" i="77"/>
  <c r="E24" i="77" s="1"/>
  <c r="H24" i="77"/>
  <c r="G24" i="77"/>
  <c r="F24" i="77"/>
  <c r="CL23" i="77" a="1"/>
  <c r="CL23" i="77" s="1"/>
  <c r="H23" i="77" s="1"/>
  <c r="CF23" i="77" a="1"/>
  <c r="CF23" i="77" s="1"/>
  <c r="G23" i="77" s="1"/>
  <c r="BZ23" i="77" a="1"/>
  <c r="BZ23" i="77" s="1"/>
  <c r="BT22" i="77"/>
  <c r="E22" i="77" s="1"/>
  <c r="H22" i="77"/>
  <c r="G22" i="77"/>
  <c r="F22" i="77"/>
  <c r="BT21" i="77"/>
  <c r="H21" i="77"/>
  <c r="G21" i="77"/>
  <c r="F21" i="77"/>
  <c r="E21" i="77"/>
  <c r="BT20" i="77"/>
  <c r="E20" i="77" s="1"/>
  <c r="H20" i="77"/>
  <c r="G20" i="77"/>
  <c r="F20" i="77"/>
  <c r="BT19" i="77"/>
  <c r="E19" i="77" s="1"/>
  <c r="H19" i="77"/>
  <c r="G19" i="77"/>
  <c r="F19" i="77"/>
  <c r="BT18" i="77"/>
  <c r="E18" i="77" s="1"/>
  <c r="H18" i="77"/>
  <c r="G18" i="77"/>
  <c r="F18" i="77"/>
  <c r="BT17" i="77"/>
  <c r="E17" i="77" s="1"/>
  <c r="H17" i="77"/>
  <c r="G17" i="77"/>
  <c r="F17" i="77"/>
  <c r="BT16" i="77"/>
  <c r="E16" i="77" s="1"/>
  <c r="H16" i="77"/>
  <c r="G16" i="77"/>
  <c r="F16" i="77"/>
  <c r="BT15" i="77"/>
  <c r="E15" i="77" s="1"/>
  <c r="H15" i="77"/>
  <c r="G15" i="77"/>
  <c r="F15" i="77"/>
  <c r="BT14" i="77"/>
  <c r="H14" i="77"/>
  <c r="G14" i="77"/>
  <c r="F14" i="77"/>
  <c r="E14" i="77"/>
  <c r="CL13" i="77" a="1"/>
  <c r="CL13" i="77"/>
  <c r="H13" i="77" s="1"/>
  <c r="CF13" i="77" a="1"/>
  <c r="CF13" i="77" s="1"/>
  <c r="BZ13" i="77" a="1"/>
  <c r="BZ13" i="77"/>
  <c r="BT11" i="77"/>
  <c r="E11" i="77" s="1"/>
  <c r="F11" i="77"/>
  <c r="BT10" i="77"/>
  <c r="E10" i="77" s="1"/>
  <c r="H10" i="77"/>
  <c r="G10" i="77"/>
  <c r="F10" i="77"/>
  <c r="BT9" i="77"/>
  <c r="E9" i="77" s="1"/>
  <c r="H9" i="77"/>
  <c r="G9" i="77"/>
  <c r="F9" i="77"/>
  <c r="CL8" i="77" a="1"/>
  <c r="CL8" i="77" s="1"/>
  <c r="CF8" i="77" a="1"/>
  <c r="CF8" i="77" s="1"/>
  <c r="BZ8" i="77" a="1"/>
  <c r="BZ8" i="77" s="1"/>
  <c r="BT7" i="77"/>
  <c r="H7" i="77"/>
  <c r="G7" i="77"/>
  <c r="F7" i="77"/>
  <c r="E7" i="77"/>
  <c r="AG5" i="77"/>
  <c r="BB1" i="77"/>
  <c r="J1" i="77"/>
  <c r="AW59" i="76"/>
  <c r="B59" i="76" s="1"/>
  <c r="F59" i="76"/>
  <c r="F58" i="76"/>
  <c r="F57" i="76"/>
  <c r="F56" i="76"/>
  <c r="F55" i="76"/>
  <c r="F54" i="76"/>
  <c r="B54" i="76"/>
  <c r="F53" i="76"/>
  <c r="F52" i="76"/>
  <c r="F51" i="76"/>
  <c r="B51" i="76"/>
  <c r="F50" i="76"/>
  <c r="B50" i="76"/>
  <c r="AW48" i="76" a="1"/>
  <c r="AW48" i="76" s="1"/>
  <c r="B48" i="76" s="1"/>
  <c r="F48" i="76"/>
  <c r="C45" i="76"/>
  <c r="B37" i="76"/>
  <c r="B35" i="76"/>
  <c r="B34" i="76"/>
  <c r="B33" i="76"/>
  <c r="B32" i="76"/>
  <c r="B31" i="76"/>
  <c r="B30" i="76"/>
  <c r="AW29" i="76" a="1"/>
  <c r="AW29" i="76" s="1"/>
  <c r="B28" i="76"/>
  <c r="B27" i="76"/>
  <c r="AW26" i="76" a="1"/>
  <c r="AW26" i="76" s="1"/>
  <c r="B26" i="76" s="1"/>
  <c r="B25" i="76"/>
  <c r="F23" i="76"/>
  <c r="S17" i="76"/>
  <c r="AQ15" i="76"/>
  <c r="Q15" i="76"/>
  <c r="AQ13" i="76"/>
  <c r="X11" i="76"/>
  <c r="Q9" i="76"/>
  <c r="C8" i="76"/>
  <c r="C6" i="76"/>
  <c r="O47" i="25"/>
  <c r="O44" i="25"/>
  <c r="Z41" i="25"/>
  <c r="O41" i="25"/>
  <c r="F41" i="25"/>
  <c r="D38" i="25"/>
  <c r="C38" i="25"/>
  <c r="V36" i="25"/>
  <c r="D36" i="25" s="1"/>
  <c r="Q36" i="25"/>
  <c r="C36" i="25" s="1"/>
  <c r="D35" i="25"/>
  <c r="C35" i="25"/>
  <c r="D34" i="25"/>
  <c r="C34" i="25"/>
  <c r="D33" i="25"/>
  <c r="C33" i="25"/>
  <c r="D32" i="25"/>
  <c r="C32" i="25"/>
  <c r="V30" i="25"/>
  <c r="D30" i="25" s="1"/>
  <c r="Q30" i="25"/>
  <c r="C30" i="25" s="1"/>
  <c r="C29" i="25"/>
  <c r="C28" i="25"/>
  <c r="V26" i="25"/>
  <c r="Q26" i="25"/>
  <c r="Q37" i="25" s="1"/>
  <c r="D25" i="25"/>
  <c r="C25" i="25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C24" i="25"/>
  <c r="F20" i="25"/>
  <c r="F19" i="25"/>
  <c r="F10" i="25"/>
  <c r="Z6" i="25"/>
  <c r="F3" i="25"/>
  <c r="Z1" i="25"/>
  <c r="F1" i="25"/>
  <c r="AH51" i="73"/>
  <c r="AH48" i="73"/>
  <c r="BE45" i="73"/>
  <c r="E45" i="73"/>
  <c r="D42" i="73"/>
  <c r="C42" i="73"/>
  <c r="D41" i="73"/>
  <c r="C41" i="73"/>
  <c r="D40" i="73"/>
  <c r="C40" i="73"/>
  <c r="D39" i="73"/>
  <c r="C39" i="73"/>
  <c r="D38" i="73"/>
  <c r="C38" i="73"/>
  <c r="D37" i="73"/>
  <c r="C37" i="73"/>
  <c r="D35" i="73"/>
  <c r="C35" i="73"/>
  <c r="D34" i="73"/>
  <c r="C34" i="73"/>
  <c r="D33" i="73"/>
  <c r="C33" i="73"/>
  <c r="D32" i="73"/>
  <c r="C32" i="73"/>
  <c r="D31" i="73"/>
  <c r="C31" i="73"/>
  <c r="B31" i="73"/>
  <c r="AV30" i="73"/>
  <c r="D30" i="73" s="1"/>
  <c r="AL30" i="73"/>
  <c r="C30" i="73" s="1"/>
  <c r="D29" i="73"/>
  <c r="C29" i="73"/>
  <c r="D28" i="73"/>
  <c r="C28" i="73"/>
  <c r="D27" i="73"/>
  <c r="C27" i="73"/>
  <c r="B27" i="73"/>
  <c r="AV26" i="73"/>
  <c r="AL26" i="73"/>
  <c r="D25" i="73"/>
  <c r="C25" i="73"/>
  <c r="D24" i="73"/>
  <c r="C24" i="73"/>
  <c r="D23" i="73"/>
  <c r="C23" i="73"/>
  <c r="B23" i="73"/>
  <c r="D22" i="73"/>
  <c r="C22" i="73"/>
  <c r="E17" i="73"/>
  <c r="E16" i="73"/>
  <c r="BE11" i="73"/>
  <c r="E9" i="73"/>
  <c r="E7" i="73"/>
  <c r="E5" i="73"/>
  <c r="BE3" i="73"/>
  <c r="E3" i="73"/>
  <c r="BE1" i="73"/>
  <c r="E1" i="73"/>
  <c r="G66" i="92"/>
  <c r="K63" i="92"/>
  <c r="G63" i="92"/>
  <c r="E63" i="92"/>
  <c r="D59" i="92"/>
  <c r="C59" i="92"/>
  <c r="D58" i="92"/>
  <c r="C58" i="92"/>
  <c r="D57" i="92"/>
  <c r="C57" i="92"/>
  <c r="D55" i="92"/>
  <c r="C55" i="92"/>
  <c r="K54" i="92"/>
  <c r="D54" i="92" s="1"/>
  <c r="J54" i="92"/>
  <c r="C54" i="92" s="1"/>
  <c r="D53" i="92"/>
  <c r="C53" i="92"/>
  <c r="D52" i="92"/>
  <c r="C52" i="92"/>
  <c r="D51" i="92"/>
  <c r="C51" i="92"/>
  <c r="D50" i="92"/>
  <c r="C50" i="92"/>
  <c r="D49" i="92"/>
  <c r="C49" i="92"/>
  <c r="D48" i="92"/>
  <c r="C48" i="92"/>
  <c r="D47" i="92"/>
  <c r="C47" i="92"/>
  <c r="D46" i="92"/>
  <c r="C46" i="92"/>
  <c r="K45" i="92"/>
  <c r="J45" i="92"/>
  <c r="C45" i="92" s="1"/>
  <c r="D44" i="92"/>
  <c r="D43" i="92"/>
  <c r="C43" i="92"/>
  <c r="D42" i="92"/>
  <c r="C42" i="92"/>
  <c r="D41" i="92"/>
  <c r="C41" i="92"/>
  <c r="D40" i="92"/>
  <c r="C40" i="92"/>
  <c r="D39" i="92"/>
  <c r="C39" i="92"/>
  <c r="K37" i="92"/>
  <c r="J37" i="92"/>
  <c r="D34" i="92"/>
  <c r="C34" i="92"/>
  <c r="D33" i="92"/>
  <c r="C33" i="92"/>
  <c r="D32" i="92"/>
  <c r="C32" i="92"/>
  <c r="D29" i="92"/>
  <c r="C29" i="92"/>
  <c r="D28" i="92"/>
  <c r="C28" i="92"/>
  <c r="D27" i="92"/>
  <c r="C27" i="92"/>
  <c r="D26" i="92"/>
  <c r="C26" i="92"/>
  <c r="D25" i="92"/>
  <c r="C25" i="92"/>
  <c r="D24" i="92"/>
  <c r="C24" i="92"/>
  <c r="D23" i="92"/>
  <c r="C23" i="92"/>
  <c r="D22" i="92"/>
  <c r="C22" i="92"/>
  <c r="K18" i="92"/>
  <c r="J18" i="92"/>
  <c r="E17" i="92"/>
  <c r="E16" i="92"/>
  <c r="K9" i="92"/>
  <c r="E9" i="92"/>
  <c r="E7" i="92"/>
  <c r="E5" i="92"/>
  <c r="K3" i="92"/>
  <c r="E3" i="92"/>
  <c r="K1" i="92"/>
  <c r="E1" i="92"/>
  <c r="G100" i="90"/>
  <c r="J97" i="90"/>
  <c r="G97" i="90"/>
  <c r="E97" i="90"/>
  <c r="D93" i="90"/>
  <c r="C93" i="90"/>
  <c r="D92" i="90"/>
  <c r="C92" i="90"/>
  <c r="D91" i="90"/>
  <c r="C91" i="90"/>
  <c r="D90" i="90"/>
  <c r="C90" i="90"/>
  <c r="D87" i="90"/>
  <c r="C87" i="90"/>
  <c r="D86" i="90"/>
  <c r="C86" i="90"/>
  <c r="D85" i="90"/>
  <c r="C85" i="90"/>
  <c r="D84" i="90"/>
  <c r="C84" i="90"/>
  <c r="D83" i="90"/>
  <c r="C83" i="90"/>
  <c r="J81" i="90"/>
  <c r="I81" i="90"/>
  <c r="J79" i="90"/>
  <c r="D79" i="90" s="1"/>
  <c r="I79" i="90"/>
  <c r="C79" i="90" s="1"/>
  <c r="D78" i="90"/>
  <c r="C78" i="90"/>
  <c r="D77" i="90"/>
  <c r="C77" i="90"/>
  <c r="D76" i="90"/>
  <c r="C76" i="90"/>
  <c r="D75" i="90"/>
  <c r="C75" i="90"/>
  <c r="J74" i="90"/>
  <c r="I74" i="90"/>
  <c r="C74" i="90" s="1"/>
  <c r="D72" i="90"/>
  <c r="C72" i="90"/>
  <c r="D71" i="90"/>
  <c r="C71" i="90"/>
  <c r="D68" i="90"/>
  <c r="C68" i="90"/>
  <c r="D67" i="90"/>
  <c r="C67" i="90"/>
  <c r="D66" i="90"/>
  <c r="C66" i="90"/>
  <c r="J65" i="90"/>
  <c r="D65" i="90" s="1"/>
  <c r="I65" i="90"/>
  <c r="C65" i="90" s="1"/>
  <c r="D64" i="90"/>
  <c r="C64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J54" i="90"/>
  <c r="D54" i="90" s="1"/>
  <c r="I54" i="90"/>
  <c r="C54" i="90" s="1"/>
  <c r="D53" i="90"/>
  <c r="C53" i="90"/>
  <c r="D52" i="90"/>
  <c r="C52" i="90"/>
  <c r="D51" i="90"/>
  <c r="C51" i="90"/>
  <c r="D50" i="90"/>
  <c r="C50" i="90"/>
  <c r="J49" i="90"/>
  <c r="D49" i="90" s="1"/>
  <c r="I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J40" i="90"/>
  <c r="I40" i="90"/>
  <c r="D36" i="90"/>
  <c r="C36" i="90"/>
  <c r="D35" i="90"/>
  <c r="C35" i="90"/>
  <c r="D34" i="90"/>
  <c r="C34" i="90"/>
  <c r="D33" i="90"/>
  <c r="C33" i="90"/>
  <c r="D32" i="90"/>
  <c r="C32" i="90"/>
  <c r="J31" i="90"/>
  <c r="D31" i="90" s="1"/>
  <c r="I31" i="90"/>
  <c r="C31" i="90" s="1"/>
  <c r="D30" i="90"/>
  <c r="C30" i="90"/>
  <c r="D29" i="90"/>
  <c r="C29" i="90"/>
  <c r="D28" i="90"/>
  <c r="C28" i="90"/>
  <c r="D27" i="90"/>
  <c r="C27" i="90"/>
  <c r="J26" i="90"/>
  <c r="D26" i="90" s="1"/>
  <c r="I26" i="90"/>
  <c r="C26" i="90" s="1"/>
  <c r="D25" i="90"/>
  <c r="C25" i="90"/>
  <c r="D24" i="90"/>
  <c r="C24" i="90"/>
  <c r="D23" i="90"/>
  <c r="C23" i="90"/>
  <c r="D22" i="90"/>
  <c r="C22" i="90"/>
  <c r="J21" i="90"/>
  <c r="D21" i="90" s="1"/>
  <c r="I21" i="90"/>
  <c r="C21" i="90" s="1"/>
  <c r="J17" i="90"/>
  <c r="I17" i="90"/>
  <c r="E16" i="90"/>
  <c r="E15" i="90"/>
  <c r="J9" i="90"/>
  <c r="E9" i="90"/>
  <c r="E7" i="90"/>
  <c r="E5" i="90"/>
  <c r="J3" i="90"/>
  <c r="E3" i="90"/>
  <c r="J1" i="90"/>
  <c r="E1" i="90"/>
  <c r="G99" i="89"/>
  <c r="J96" i="89"/>
  <c r="G96" i="89"/>
  <c r="E96" i="89"/>
  <c r="D93" i="89"/>
  <c r="C93" i="89"/>
  <c r="D92" i="89"/>
  <c r="C92" i="89"/>
  <c r="D91" i="89"/>
  <c r="C91" i="89"/>
  <c r="D90" i="89"/>
  <c r="C90" i="89"/>
  <c r="D88" i="89"/>
  <c r="C88" i="89"/>
  <c r="D87" i="89"/>
  <c r="C87" i="89"/>
  <c r="D86" i="89"/>
  <c r="C86" i="89"/>
  <c r="D80" i="89"/>
  <c r="C80" i="89"/>
  <c r="D79" i="89"/>
  <c r="C79" i="89"/>
  <c r="J78" i="89"/>
  <c r="D78" i="89" s="1"/>
  <c r="I78" i="89"/>
  <c r="C78" i="89" s="1"/>
  <c r="D77" i="89"/>
  <c r="C77" i="89"/>
  <c r="D76" i="89"/>
  <c r="C76" i="89"/>
  <c r="J75" i="89"/>
  <c r="D75" i="89" s="1"/>
  <c r="I75" i="89"/>
  <c r="C75" i="89" s="1"/>
  <c r="D74" i="89"/>
  <c r="C74" i="89"/>
  <c r="D73" i="89"/>
  <c r="C73" i="89"/>
  <c r="D72" i="89"/>
  <c r="C72" i="89"/>
  <c r="J71" i="89"/>
  <c r="D71" i="89" s="1"/>
  <c r="I71" i="89"/>
  <c r="C71" i="89" s="1"/>
  <c r="D70" i="89"/>
  <c r="C70" i="89"/>
  <c r="D69" i="89"/>
  <c r="C69" i="89"/>
  <c r="J68" i="89"/>
  <c r="D68" i="89" s="1"/>
  <c r="I68" i="89"/>
  <c r="C68" i="89" s="1"/>
  <c r="D67" i="89"/>
  <c r="C67" i="89"/>
  <c r="D66" i="89"/>
  <c r="C66" i="89"/>
  <c r="D65" i="89"/>
  <c r="C65" i="89"/>
  <c r="J64" i="89"/>
  <c r="D64" i="89" s="1"/>
  <c r="I64" i="89"/>
  <c r="C64" i="89" s="1"/>
  <c r="D63" i="89"/>
  <c r="C63" i="89"/>
  <c r="D62" i="89"/>
  <c r="C62" i="89"/>
  <c r="D60" i="89"/>
  <c r="C60" i="89"/>
  <c r="D59" i="89"/>
  <c r="C59" i="89"/>
  <c r="D58" i="89"/>
  <c r="C58" i="89"/>
  <c r="D57" i="89"/>
  <c r="C57" i="89"/>
  <c r="D56" i="89"/>
  <c r="C56" i="89"/>
  <c r="J55" i="89"/>
  <c r="D55" i="89" s="1"/>
  <c r="I55" i="89"/>
  <c r="C55" i="89" s="1"/>
  <c r="D54" i="89"/>
  <c r="C54" i="89"/>
  <c r="D53" i="89"/>
  <c r="C53" i="89"/>
  <c r="D52" i="89"/>
  <c r="C52" i="89"/>
  <c r="D51" i="89"/>
  <c r="C51" i="89"/>
  <c r="D50" i="89"/>
  <c r="C50" i="89"/>
  <c r="J49" i="89"/>
  <c r="D49" i="89" s="1"/>
  <c r="I49" i="89"/>
  <c r="C49" i="89" s="1"/>
  <c r="D48" i="89"/>
  <c r="C48" i="89"/>
  <c r="D47" i="89"/>
  <c r="C47" i="89"/>
  <c r="D46" i="89"/>
  <c r="C46" i="89"/>
  <c r="D44" i="89"/>
  <c r="C44" i="89"/>
  <c r="D43" i="89"/>
  <c r="C43" i="89"/>
  <c r="D38" i="89"/>
  <c r="C38" i="89"/>
  <c r="D37" i="89"/>
  <c r="C37" i="89"/>
  <c r="J36" i="89"/>
  <c r="D36" i="89" s="1"/>
  <c r="I36" i="89"/>
  <c r="C36" i="89" s="1"/>
  <c r="D35" i="89"/>
  <c r="C35" i="89"/>
  <c r="D34" i="89"/>
  <c r="C34" i="89"/>
  <c r="D33" i="89"/>
  <c r="C33" i="89"/>
  <c r="D32" i="89"/>
  <c r="C32" i="89"/>
  <c r="D31" i="89"/>
  <c r="C31" i="89"/>
  <c r="D30" i="89"/>
  <c r="C30" i="89"/>
  <c r="D29" i="89"/>
  <c r="C29" i="89"/>
  <c r="D28" i="89"/>
  <c r="C28" i="89"/>
  <c r="J27" i="89"/>
  <c r="D27" i="89" s="1"/>
  <c r="I27" i="89"/>
  <c r="C27" i="89" s="1"/>
  <c r="D26" i="89"/>
  <c r="C26" i="89"/>
  <c r="D25" i="89"/>
  <c r="C25" i="89"/>
  <c r="J24" i="89"/>
  <c r="I24" i="89"/>
  <c r="C24" i="89" s="1"/>
  <c r="D24" i="89"/>
  <c r="D23" i="89"/>
  <c r="C23" i="89"/>
  <c r="D22" i="89"/>
  <c r="C22" i="89"/>
  <c r="J21" i="89"/>
  <c r="I21" i="89"/>
  <c r="D20" i="89"/>
  <c r="C20" i="89"/>
  <c r="E16" i="89"/>
  <c r="E15" i="89"/>
  <c r="J9" i="89"/>
  <c r="E9" i="89"/>
  <c r="E7" i="89"/>
  <c r="E5" i="89"/>
  <c r="J3" i="89"/>
  <c r="E3" i="89"/>
  <c r="J1" i="89"/>
  <c r="E1" i="89"/>
  <c r="F48" i="2"/>
  <c r="B23" i="2"/>
  <c r="B24" i="95" s="1"/>
  <c r="B19" i="2"/>
  <c r="AN55" i="77" s="1"/>
  <c r="B16" i="2"/>
  <c r="E11" i="92" s="1"/>
  <c r="B10" i="2"/>
  <c r="A1" i="2"/>
  <c r="C78" i="95"/>
  <c r="B78" i="95"/>
  <c r="A78" i="95"/>
  <c r="C77" i="95"/>
  <c r="B77" i="95"/>
  <c r="A77" i="95"/>
  <c r="C76" i="95"/>
  <c r="B76" i="95"/>
  <c r="A76" i="95"/>
  <c r="C75" i="95"/>
  <c r="B75" i="95"/>
  <c r="A75" i="95"/>
  <c r="C74" i="95"/>
  <c r="B74" i="95"/>
  <c r="A74" i="95"/>
  <c r="C73" i="95"/>
  <c r="B73" i="95"/>
  <c r="A73" i="95"/>
  <c r="C72" i="95"/>
  <c r="B72" i="95"/>
  <c r="A72" i="95"/>
  <c r="B71" i="95"/>
  <c r="A71" i="95"/>
  <c r="B70" i="95"/>
  <c r="A70" i="95"/>
  <c r="B68" i="95"/>
  <c r="C66" i="95"/>
  <c r="C65" i="95"/>
  <c r="C64" i="95"/>
  <c r="C63" i="95"/>
  <c r="C62" i="95"/>
  <c r="C59" i="95"/>
  <c r="C53" i="95"/>
  <c r="C52" i="95"/>
  <c r="C42" i="95"/>
  <c r="C41" i="95"/>
  <c r="B40" i="95"/>
  <c r="B39" i="95"/>
  <c r="B38" i="95"/>
  <c r="B37" i="95"/>
  <c r="C36" i="95"/>
  <c r="B34" i="95"/>
  <c r="B33" i="95"/>
  <c r="B32" i="95"/>
  <c r="B31" i="95"/>
  <c r="B30" i="95"/>
  <c r="H1" i="2" s="1"/>
  <c r="B29" i="95"/>
  <c r="B28" i="95"/>
  <c r="E26" i="95"/>
  <c r="D26" i="95"/>
  <c r="C26" i="95"/>
  <c r="B26" i="95"/>
  <c r="B25" i="95"/>
  <c r="B21" i="95"/>
  <c r="B15" i="95"/>
  <c r="B14" i="95"/>
  <c r="B13" i="95"/>
  <c r="B12" i="95"/>
  <c r="Q13" i="76" s="1"/>
  <c r="B11" i="95"/>
  <c r="B10" i="95"/>
  <c r="B9" i="95"/>
  <c r="B8" i="95"/>
  <c r="B7" i="95"/>
  <c r="B6" i="95"/>
  <c r="B4" i="95"/>
  <c r="B1" i="95"/>
  <c r="AF80" i="88"/>
  <c r="D80" i="88"/>
  <c r="AF79" i="88"/>
  <c r="D79" i="88"/>
  <c r="AF78" i="88"/>
  <c r="D78" i="88"/>
  <c r="AF77" i="88"/>
  <c r="D77" i="88"/>
  <c r="AF76" i="88"/>
  <c r="D76" i="88"/>
  <c r="AF75" i="88"/>
  <c r="D75" i="88"/>
  <c r="AF74" i="88"/>
  <c r="D74" i="88"/>
  <c r="AF73" i="88"/>
  <c r="D73" i="88"/>
  <c r="AF72" i="88"/>
  <c r="D72" i="88"/>
  <c r="AF71" i="88"/>
  <c r="D71" i="88"/>
  <c r="AF70" i="88"/>
  <c r="D70" i="88"/>
  <c r="AF69" i="88"/>
  <c r="D69" i="88"/>
  <c r="AF68" i="88"/>
  <c r="D68" i="88"/>
  <c r="AF67" i="88"/>
  <c r="D67" i="88"/>
  <c r="AF66" i="88"/>
  <c r="D66" i="88"/>
  <c r="AF65" i="88"/>
  <c r="D65" i="88"/>
  <c r="AF64" i="88"/>
  <c r="D64" i="88"/>
  <c r="AF63" i="88"/>
  <c r="D63" i="88"/>
  <c r="AF62" i="88"/>
  <c r="D62" i="88"/>
  <c r="AF61" i="88"/>
  <c r="D61" i="88"/>
  <c r="AF60" i="88"/>
  <c r="D60" i="88"/>
  <c r="AF59" i="88"/>
  <c r="D59" i="88"/>
  <c r="AF58" i="88"/>
  <c r="D58" i="88"/>
  <c r="AF57" i="88"/>
  <c r="D57" i="88"/>
  <c r="AF56" i="88"/>
  <c r="D56" i="88"/>
  <c r="AF55" i="88"/>
  <c r="D55" i="88"/>
  <c r="AF54" i="88"/>
  <c r="D54" i="88"/>
  <c r="AF53" i="88"/>
  <c r="D53" i="88"/>
  <c r="AF52" i="88"/>
  <c r="D52" i="88"/>
  <c r="AF51" i="88"/>
  <c r="D51" i="88"/>
  <c r="AF50" i="88"/>
  <c r="D50" i="88"/>
  <c r="AF49" i="88"/>
  <c r="D49" i="88"/>
  <c r="AF48" i="88"/>
  <c r="D48" i="88"/>
  <c r="AF47" i="88"/>
  <c r="D47" i="88"/>
  <c r="AF46" i="88"/>
  <c r="D46" i="88"/>
  <c r="AF45" i="88"/>
  <c r="D45" i="88"/>
  <c r="AF44" i="88"/>
  <c r="D44" i="88"/>
  <c r="AF43" i="88"/>
  <c r="D43" i="88"/>
  <c r="AF42" i="88"/>
  <c r="D42" i="88"/>
  <c r="AF41" i="88"/>
  <c r="D41" i="88"/>
  <c r="AF40" i="88"/>
  <c r="D40" i="88"/>
  <c r="AF39" i="88"/>
  <c r="D39" i="88"/>
  <c r="AF38" i="88"/>
  <c r="D38" i="88"/>
  <c r="AF37" i="88"/>
  <c r="D37" i="88"/>
  <c r="AF36" i="88"/>
  <c r="D36" i="88"/>
  <c r="AF35" i="88"/>
  <c r="D35" i="88"/>
  <c r="AF34" i="88"/>
  <c r="D34" i="88"/>
  <c r="AF33" i="88"/>
  <c r="D33" i="88"/>
  <c r="AF32" i="88"/>
  <c r="D32" i="88"/>
  <c r="AF31" i="88"/>
  <c r="D31" i="88"/>
  <c r="AF30" i="88"/>
  <c r="D30" i="88"/>
  <c r="AF29" i="88"/>
  <c r="D29" i="88"/>
  <c r="AF28" i="88"/>
  <c r="D28" i="88"/>
  <c r="AF27" i="88"/>
  <c r="D27" i="88"/>
  <c r="AF26" i="88"/>
  <c r="D26" i="88"/>
  <c r="AF25" i="88"/>
  <c r="D25" i="88"/>
  <c r="AF24" i="88"/>
  <c r="D24" i="88"/>
  <c r="AF23" i="88"/>
  <c r="D23" i="88"/>
  <c r="AF22" i="88"/>
  <c r="D22" i="88"/>
  <c r="AF21" i="88"/>
  <c r="D21" i="88"/>
  <c r="AF20" i="88"/>
  <c r="D20" i="88"/>
  <c r="AF19" i="88"/>
  <c r="D19" i="88"/>
  <c r="AF18" i="88"/>
  <c r="D18" i="88"/>
  <c r="AF17" i="88"/>
  <c r="D17" i="88"/>
  <c r="AF16" i="88"/>
  <c r="D16" i="88"/>
  <c r="AF15" i="88"/>
  <c r="D15" i="88"/>
  <c r="AF14" i="88"/>
  <c r="D14" i="88"/>
  <c r="AF13" i="88"/>
  <c r="D13" i="88"/>
  <c r="AF12" i="88"/>
  <c r="D12" i="88"/>
  <c r="AF11" i="88"/>
  <c r="D11" i="88"/>
  <c r="AF10" i="88"/>
  <c r="D10" i="88"/>
  <c r="AF9" i="88"/>
  <c r="D9" i="88"/>
  <c r="AF8" i="88"/>
  <c r="D8" i="88"/>
  <c r="AF7" i="88"/>
  <c r="D7" i="88"/>
  <c r="AF6" i="88"/>
  <c r="D6" i="88"/>
  <c r="AF5" i="88"/>
  <c r="D5" i="88"/>
  <c r="AF4" i="88"/>
  <c r="D4" i="88"/>
  <c r="AF3" i="88"/>
  <c r="D3" i="88"/>
  <c r="AF2" i="88"/>
  <c r="D2" i="88"/>
  <c r="D1" i="88"/>
  <c r="A15" i="41" a="1"/>
  <c r="F34" i="77" l="1"/>
  <c r="BZ31" i="77"/>
  <c r="I42" i="90"/>
  <c r="C42" i="90" s="1"/>
  <c r="G34" i="86"/>
  <c r="BT34" i="77"/>
  <c r="E34" i="77" s="1"/>
  <c r="D29" i="25"/>
  <c r="BB22" i="86"/>
  <c r="I22" i="86" s="1"/>
  <c r="Z3" i="25"/>
  <c r="BB32" i="86"/>
  <c r="I32" i="86" s="1"/>
  <c r="B29" i="76"/>
  <c r="AW23" i="76"/>
  <c r="B23" i="76" s="1"/>
  <c r="B60" i="76" s="1"/>
  <c r="B61" i="76" s="1"/>
  <c r="G8" i="77"/>
  <c r="CF6" i="77"/>
  <c r="G6" i="77" s="1"/>
  <c r="BT23" i="77"/>
  <c r="E23" i="77" s="1"/>
  <c r="C27" i="25"/>
  <c r="E11" i="89"/>
  <c r="E11" i="90"/>
  <c r="I73" i="90"/>
  <c r="C73" i="90" s="1"/>
  <c r="D27" i="25"/>
  <c r="D28" i="25"/>
  <c r="AR36" i="86"/>
  <c r="G35" i="86"/>
  <c r="C49" i="90"/>
  <c r="G26" i="86"/>
  <c r="D24" i="25"/>
  <c r="G29" i="86"/>
  <c r="B16" i="95"/>
  <c r="BE7" i="73"/>
  <c r="BT8" i="77"/>
  <c r="E8" i="77" s="1"/>
  <c r="E11" i="73"/>
  <c r="C37" i="25"/>
  <c r="B33" i="87"/>
  <c r="B34" i="87" s="1"/>
  <c r="AP1" i="87" s="1"/>
  <c r="B63" i="95" s="1"/>
  <c r="F37" i="86"/>
  <c r="F38" i="86" s="1"/>
  <c r="G21" i="86"/>
  <c r="AL36" i="73"/>
  <c r="C36" i="73" s="1"/>
  <c r="C26" i="25"/>
  <c r="B25" i="93"/>
  <c r="B26" i="93" s="1"/>
  <c r="H1" i="93" s="1"/>
  <c r="B64" i="95" s="1"/>
  <c r="F8" i="25"/>
  <c r="C26" i="73"/>
  <c r="J85" i="89"/>
  <c r="J61" i="89"/>
  <c r="D61" i="89" s="1"/>
  <c r="A15" i="41"/>
  <c r="A16" i="41" s="1"/>
  <c r="A17" i="41" s="1"/>
  <c r="J45" i="89"/>
  <c r="D45" i="89" s="1"/>
  <c r="D21" i="89"/>
  <c r="J42" i="90"/>
  <c r="D42" i="90" s="1"/>
  <c r="J73" i="90"/>
  <c r="D73" i="90" s="1"/>
  <c r="D74" i="90"/>
  <c r="A73" i="2"/>
  <c r="C19" i="76" s="1"/>
  <c r="B67" i="95"/>
  <c r="J5" i="90"/>
  <c r="K56" i="92"/>
  <c r="D45" i="92"/>
  <c r="BB36" i="86"/>
  <c r="I36" i="86" s="1"/>
  <c r="G36" i="86"/>
  <c r="J7" i="90"/>
  <c r="K7" i="92"/>
  <c r="J7" i="89"/>
  <c r="AV36" i="73"/>
  <c r="D36" i="73" s="1"/>
  <c r="D44" i="73" s="1"/>
  <c r="D45" i="73" s="1"/>
  <c r="D26" i="73"/>
  <c r="F5" i="25"/>
  <c r="H1" i="94"/>
  <c r="B65" i="95" s="1"/>
  <c r="J56" i="92"/>
  <c r="D26" i="25"/>
  <c r="V31" i="25"/>
  <c r="D31" i="25" s="1"/>
  <c r="CL6" i="77"/>
  <c r="H8" i="77"/>
  <c r="BZ12" i="77"/>
  <c r="F13" i="77"/>
  <c r="J5" i="89"/>
  <c r="Z8" i="25"/>
  <c r="CL12" i="77"/>
  <c r="H12" i="77" s="1"/>
  <c r="G34" i="77"/>
  <c r="CF31" i="77"/>
  <c r="G31" i="77" s="1"/>
  <c r="J20" i="90"/>
  <c r="BE9" i="73"/>
  <c r="G13" i="77"/>
  <c r="CF12" i="77"/>
  <c r="G33" i="86"/>
  <c r="BB33" i="86"/>
  <c r="I33" i="86" s="1"/>
  <c r="B22" i="95"/>
  <c r="I45" i="89"/>
  <c r="C45" i="89" s="1"/>
  <c r="C21" i="89"/>
  <c r="I61" i="89"/>
  <c r="C61" i="89" s="1"/>
  <c r="I20" i="90"/>
  <c r="K5" i="92"/>
  <c r="Q31" i="25"/>
  <c r="C31" i="25" s="1"/>
  <c r="V37" i="25"/>
  <c r="D37" i="25" s="1"/>
  <c r="BZ6" i="77"/>
  <c r="F8" i="77"/>
  <c r="BT13" i="77"/>
  <c r="E13" i="77" s="1"/>
  <c r="F23" i="77"/>
  <c r="G28" i="77"/>
  <c r="F31" i="77"/>
  <c r="G25" i="86"/>
  <c r="BB25" i="86"/>
  <c r="I25" i="86" s="1"/>
  <c r="C17" i="87"/>
  <c r="H37" i="86"/>
  <c r="H38" i="86" s="1"/>
  <c r="I85" i="89"/>
  <c r="CL31" i="77"/>
  <c r="H31" i="77" s="1"/>
  <c r="BB23" i="86"/>
  <c r="I23" i="86" s="1"/>
  <c r="BB31" i="86"/>
  <c r="I31" i="86" s="1"/>
  <c r="BB21" i="86"/>
  <c r="I21" i="86" s="1"/>
  <c r="C39" i="25" l="1"/>
  <c r="C40" i="25" s="1"/>
  <c r="BT31" i="77"/>
  <c r="E31" i="77" s="1"/>
  <c r="G37" i="86"/>
  <c r="G38" i="86" s="1"/>
  <c r="C44" i="73"/>
  <c r="C45" i="73" s="1"/>
  <c r="BG1" i="73" s="1"/>
  <c r="B52" i="95" s="1"/>
  <c r="D39" i="25"/>
  <c r="D40" i="25" s="1"/>
  <c r="AB1" i="25" s="1"/>
  <c r="B53" i="95" s="1"/>
  <c r="J89" i="89"/>
  <c r="D89" i="89" s="1"/>
  <c r="D85" i="89"/>
  <c r="C85" i="89"/>
  <c r="I89" i="89"/>
  <c r="C89" i="89" s="1"/>
  <c r="I37" i="86"/>
  <c r="I38" i="86" s="1"/>
  <c r="BZ5" i="77"/>
  <c r="F6" i="77"/>
  <c r="BT6" i="77"/>
  <c r="E6" i="77" s="1"/>
  <c r="G12" i="77"/>
  <c r="CF5" i="77"/>
  <c r="G5" i="77" s="1"/>
  <c r="G82" i="77" s="1"/>
  <c r="G83" i="77" s="1"/>
  <c r="D56" i="92"/>
  <c r="K60" i="92"/>
  <c r="D60" i="92" s="1"/>
  <c r="J62" i="90"/>
  <c r="J63" i="90"/>
  <c r="D20" i="90"/>
  <c r="BT12" i="77"/>
  <c r="E12" i="77" s="1"/>
  <c r="F12" i="77"/>
  <c r="C29" i="94"/>
  <c r="C37" i="93"/>
  <c r="C20" i="90"/>
  <c r="I63" i="90"/>
  <c r="I62" i="90"/>
  <c r="H6" i="77"/>
  <c r="CL5" i="77"/>
  <c r="H5" i="77" s="1"/>
  <c r="H82" i="77" s="1"/>
  <c r="H83" i="77" s="1"/>
  <c r="C56" i="92"/>
  <c r="J60" i="92"/>
  <c r="C60" i="92" s="1"/>
  <c r="R1" i="41"/>
  <c r="B66" i="95" s="1"/>
  <c r="BH41" i="86" l="1"/>
  <c r="B62" i="95" s="1"/>
  <c r="F59" i="25"/>
  <c r="D61" i="92"/>
  <c r="D62" i="92" s="1"/>
  <c r="E62" i="73"/>
  <c r="D97" i="89"/>
  <c r="D98" i="89" s="1"/>
  <c r="C97" i="89"/>
  <c r="C98" i="89" s="1"/>
  <c r="B39" i="41"/>
  <c r="C62" i="90"/>
  <c r="I69" i="90"/>
  <c r="J70" i="90"/>
  <c r="D70" i="90" s="1"/>
  <c r="D63" i="90"/>
  <c r="BT5" i="77"/>
  <c r="E5" i="77" s="1"/>
  <c r="E82" i="77" s="1"/>
  <c r="E83" i="77" s="1"/>
  <c r="F5" i="77"/>
  <c r="F82" i="77" s="1"/>
  <c r="F83" i="77" s="1"/>
  <c r="C61" i="92"/>
  <c r="C62" i="92" s="1"/>
  <c r="C63" i="90"/>
  <c r="I70" i="90"/>
  <c r="C70" i="90" s="1"/>
  <c r="D62" i="90"/>
  <c r="J69" i="90"/>
  <c r="J43" i="86" l="1"/>
  <c r="J39" i="89"/>
  <c r="B41" i="95" s="1"/>
  <c r="J51" i="77"/>
  <c r="J97" i="77"/>
  <c r="C63" i="76"/>
  <c r="BE1" i="76"/>
  <c r="B59" i="95" s="1"/>
  <c r="J89" i="90"/>
  <c r="D89" i="90" s="1"/>
  <c r="J88" i="90"/>
  <c r="D88" i="90" s="1"/>
  <c r="D69" i="90"/>
  <c r="K35" i="92"/>
  <c r="B45" i="95" s="1"/>
  <c r="C69" i="90"/>
  <c r="I89" i="90"/>
  <c r="C89" i="90" s="1"/>
  <c r="I88" i="90"/>
  <c r="C88" i="90" s="1"/>
  <c r="E36" i="92" l="1"/>
  <c r="E72" i="92" s="1"/>
  <c r="D95" i="90"/>
  <c r="D96" i="90" s="1"/>
  <c r="C95" i="90"/>
  <c r="C96" i="90" s="1"/>
  <c r="E40" i="89"/>
  <c r="E109" i="89" s="1"/>
  <c r="J38" i="90" l="1"/>
  <c r="B42" i="95" s="1"/>
  <c r="E82" i="89"/>
  <c r="E39" i="90" l="1"/>
  <c r="E80" i="90" l="1"/>
  <c r="E116" i="90"/>
</calcChain>
</file>

<file path=xl/sharedStrings.xml><?xml version="1.0" encoding="utf-8"?>
<sst xmlns="http://schemas.openxmlformats.org/spreadsheetml/2006/main" count="4088" uniqueCount="2709">
  <si>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</si>
  <si>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</si>
  <si>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</si>
  <si>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</si>
  <si>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</si>
  <si>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</si>
  <si>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</si>
  <si>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</si>
  <si>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</si>
  <si>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</si>
  <si>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</si>
  <si>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</si>
  <si>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</si>
  <si>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</si>
  <si>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</si>
  <si>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</si>
  <si>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</si>
  <si>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</si>
  <si>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</si>
  <si>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</si>
  <si>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</si>
  <si>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</si>
  <si>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</si>
  <si>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</si>
  <si>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</si>
  <si>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</si>
  <si>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</si>
  <si>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</si>
  <si>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</si>
  <si>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</si>
  <si>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</si>
  <si>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</si>
  <si>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</si>
  <si>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</si>
  <si>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</si>
  <si>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</si>
  <si>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</si>
  <si>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</si>
  <si>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</si>
  <si>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</si>
  <si>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</si>
  <si>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</si>
  <si>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</si>
  <si>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</si>
  <si>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</si>
  <si>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</si>
  <si>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</si>
  <si>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</si>
  <si>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</si>
  <si>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</si>
  <si>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</si>
  <si>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</si>
  <si>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</si>
  <si>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</si>
  <si>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</si>
  <si>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</si>
  <si>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</si>
  <si>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</si>
  <si>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</si>
  <si>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</si>
  <si>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</si>
  <si>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</si>
  <si>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</si>
  <si>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</si>
  <si>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</si>
  <si>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</si>
  <si>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</si>
  <si>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</si>
  <si>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</si>
  <si>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</si>
  <si>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</si>
  <si>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</si>
  <si>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</si>
  <si>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</si>
  <si>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</si>
  <si>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</si>
  <si>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</si>
  <si>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</si>
  <si>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</si>
  <si>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</si>
  <si>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</si>
  <si>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</si>
  <si>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</si>
  <si>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</si>
  <si>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</si>
  <si>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</si>
  <si>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</si>
  <si>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</si>
  <si>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</si>
  <si>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</si>
  <si>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</si>
  <si>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</si>
  <si>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</si>
  <si>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</si>
  <si>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</si>
  <si>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</si>
  <si>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</si>
  <si>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</si>
  <si>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</si>
  <si>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</si>
  <si>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</si>
  <si>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</si>
  <si>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</si>
  <si>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</si>
  <si>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</si>
  <si>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</si>
  <si>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</si>
  <si>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</si>
  <si>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</si>
  <si>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</si>
  <si>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</si>
  <si>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</si>
  <si>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</si>
  <si>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</si>
  <si>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</si>
  <si>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</si>
  <si>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</si>
  <si>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</si>
  <si>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</si>
  <si>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</si>
  <si>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</si>
  <si>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</si>
  <si>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</si>
  <si>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</si>
  <si>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</si>
  <si>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</si>
  <si>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</si>
  <si>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</si>
  <si>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</si>
  <si>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</si>
  <si>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</si>
  <si>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</si>
  <si>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</si>
  <si>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</si>
  <si>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</si>
  <si>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</si>
  <si>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</si>
  <si>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</si>
  <si>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</si>
  <si>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</si>
  <si>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</si>
  <si>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</si>
  <si>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</si>
  <si>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</si>
  <si>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</si>
  <si>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</si>
  <si>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</si>
  <si>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</si>
  <si>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</si>
  <si>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</si>
  <si>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</si>
  <si>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</si>
  <si>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</si>
  <si>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</si>
  <si>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</si>
  <si>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</si>
  <si>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</si>
  <si>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</si>
  <si>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</si>
  <si>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</si>
  <si>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</si>
  <si>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</si>
  <si>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</si>
  <si>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</si>
  <si>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</si>
  <si>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</si>
  <si>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</si>
  <si>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</si>
  <si>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</si>
  <si>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</si>
  <si>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</si>
  <si>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</si>
  <si>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</si>
  <si>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</si>
  <si>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</si>
  <si>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</si>
  <si>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</si>
  <si>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</si>
  <si>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</si>
  <si>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</si>
  <si>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</si>
  <si>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</si>
  <si>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</si>
  <si>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</si>
  <si>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</si>
  <si>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</si>
  <si>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</si>
  <si>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</si>
  <si>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</si>
  <si>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</si>
  <si>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</si>
  <si>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</si>
  <si>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</si>
  <si>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</si>
  <si>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</si>
  <si>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</si>
  <si>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</si>
  <si>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</si>
  <si>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</si>
  <si>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</si>
  <si>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</si>
  <si>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</si>
  <si>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</si>
  <si>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</si>
  <si>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</si>
  <si>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</si>
  <si>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</si>
  <si>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</si>
  <si>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</si>
  <si>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</si>
  <si>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</si>
  <si>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</si>
  <si>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</si>
  <si>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</si>
  <si>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</si>
  <si>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</si>
  <si>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</si>
  <si>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</si>
  <si>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</si>
  <si>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</si>
  <si>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</si>
  <si>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</si>
  <si>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</si>
  <si>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</si>
  <si>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</si>
  <si>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</si>
  <si>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</si>
  <si>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</si>
  <si>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</si>
  <si>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</si>
  <si>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</si>
  <si>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</si>
  <si>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</si>
  <si>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</si>
  <si>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</si>
  <si>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</si>
  <si>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</si>
  <si>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</si>
  <si>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</si>
  <si>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</si>
  <si>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</si>
  <si>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</si>
  <si>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</si>
  <si>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</si>
  <si>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</si>
  <si>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</si>
  <si>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</si>
  <si>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</si>
  <si>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</si>
  <si>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</si>
  <si>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</si>
  <si>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</si>
  <si>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</si>
  <si>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</si>
  <si>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</si>
  <si>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</si>
  <si>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</si>
  <si>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</si>
  <si>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</si>
  <si>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</si>
  <si>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</si>
  <si>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</si>
  <si>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</si>
  <si>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</si>
  <si>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</si>
  <si>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</si>
  <si>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</si>
  <si>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</si>
  <si>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</si>
  <si>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</si>
  <si>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</si>
  <si>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</si>
  <si>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</si>
  <si>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</si>
  <si>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</si>
  <si>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</si>
  <si>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</si>
  <si>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</si>
  <si>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</si>
  <si>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</si>
  <si>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</si>
  <si>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</si>
  <si>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</si>
  <si>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</si>
  <si>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</si>
  <si>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</si>
  <si>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</si>
  <si>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</si>
  <si>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</si>
  <si>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</si>
  <si>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</si>
  <si>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</si>
  <si>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</si>
  <si>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</si>
  <si>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</si>
  <si>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</si>
  <si>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</si>
  <si>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</si>
  <si>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</si>
  <si>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</si>
  <si>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</si>
  <si>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</si>
  <si>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</si>
  <si>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</si>
  <si>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</si>
  <si>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</si>
  <si>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</si>
  <si>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</si>
  <si>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</si>
  <si>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</si>
  <si>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</si>
  <si>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</si>
  <si>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</si>
  <si>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</si>
  <si>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</si>
  <si>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</si>
  <si>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</si>
  <si>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</si>
  <si>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</si>
  <si>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</si>
  <si>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</si>
  <si>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</si>
  <si>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</si>
  <si>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</si>
  <si>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</si>
  <si>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</si>
  <si>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</si>
  <si>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</si>
  <si>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</si>
  <si>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</si>
  <si>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</si>
  <si>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</si>
  <si>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</si>
  <si>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</si>
  <si>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</si>
  <si>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</si>
  <si>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</si>
  <si>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</si>
  <si>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</si>
  <si>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</si>
  <si>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</si>
  <si>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</si>
  <si>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</si>
  <si>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</si>
  <si>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</si>
  <si>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</si>
  <si>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</si>
  <si>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</si>
  <si>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</si>
  <si>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</si>
  <si>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</si>
  <si>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</si>
  <si>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</si>
  <si>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</si>
  <si>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</si>
  <si>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</si>
  <si>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</si>
  <si>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</si>
  <si>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</si>
  <si>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</si>
  <si>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</si>
  <si>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</si>
  <si>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</si>
  <si>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</si>
  <si>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</si>
  <si>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</si>
  <si>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</si>
  <si>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</si>
  <si>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</si>
  <si>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</si>
  <si>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</si>
  <si>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</si>
  <si>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</si>
  <si>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</si>
  <si>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</si>
  <si>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</si>
  <si>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</si>
  <si>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</si>
  <si>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</si>
  <si>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</si>
  <si>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</si>
  <si>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</si>
  <si>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</si>
  <si>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</si>
  <si>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</si>
  <si>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</si>
  <si>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</si>
  <si>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</si>
  <si>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</si>
  <si>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</si>
  <si>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</si>
  <si>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</si>
  <si>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</si>
  <si>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</si>
  <si>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</si>
  <si>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</si>
  <si>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</si>
  <si>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</si>
  <si>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</si>
  <si>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</si>
  <si>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</si>
  <si>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</si>
  <si>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</si>
  <si>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</si>
  <si>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</si>
  <si>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</si>
  <si>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</si>
  <si>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</si>
  <si>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</si>
  <si>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</si>
  <si>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</si>
  <si>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</si>
  <si>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</si>
  <si>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</si>
  <si>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</si>
  <si>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</si>
  <si>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</si>
  <si>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</si>
  <si>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</si>
  <si>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</si>
  <si>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</si>
  <si>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</si>
  <si>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</si>
  <si>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</si>
  <si>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</si>
  <si>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</si>
  <si>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</si>
  <si>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</si>
  <si>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</si>
  <si>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</si>
  <si>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</si>
  <si>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</si>
  <si>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</si>
  <si>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</si>
  <si>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</si>
  <si>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</si>
  <si>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</si>
  <si>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</si>
  <si>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</si>
  <si>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</si>
  <si>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</si>
  <si>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</si>
  <si>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</si>
  <si>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</si>
  <si>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</si>
  <si>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</si>
  <si>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</si>
  <si>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</si>
  <si>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</si>
  <si>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</si>
  <si>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</si>
  <si>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</si>
  <si>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</si>
  <si>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</si>
  <si>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</si>
  <si>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</si>
  <si>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</si>
  <si>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</si>
  <si>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</si>
  <si>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</si>
  <si>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</si>
  <si>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</si>
  <si>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</si>
  <si>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</si>
  <si>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</si>
  <si>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</si>
  <si>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</si>
  <si>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</si>
  <si>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</si>
  <si>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</si>
  <si>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</si>
  <si>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</si>
  <si>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</si>
  <si>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</si>
  <si>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</si>
  <si>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</si>
  <si>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</si>
  <si>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</si>
  <si>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</si>
  <si>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</si>
  <si>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</si>
  <si>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</si>
  <si>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</si>
  <si>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</si>
  <si>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</si>
  <si>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</si>
  <si>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</si>
  <si>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</si>
  <si>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</si>
  <si>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</si>
  <si>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</si>
  <si>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</si>
  <si>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</si>
  <si>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</si>
  <si>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</si>
  <si>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</si>
  <si>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</si>
  <si>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</si>
  <si>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</si>
  <si>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</si>
  <si>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</si>
  <si>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</si>
  <si>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</si>
  <si>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</si>
  <si>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</si>
  <si>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</si>
  <si>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</si>
  <si>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</si>
  <si>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</si>
  <si>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</si>
  <si>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</si>
  <si>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</si>
  <si>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</si>
  <si>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</si>
  <si>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</si>
  <si>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</si>
  <si>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</si>
  <si>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</si>
  <si>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</si>
  <si>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</si>
  <si>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</si>
  <si>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</si>
  <si>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</si>
  <si>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</si>
  <si>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</si>
  <si>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</si>
  <si>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</si>
  <si>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</si>
  <si>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</si>
  <si>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</si>
  <si>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</si>
  <si>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</si>
  <si>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</si>
  <si>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</si>
  <si>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</si>
  <si>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</si>
  <si>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</si>
  <si>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</si>
  <si>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</si>
  <si>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</si>
  <si>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</si>
  <si>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</si>
  <si>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</si>
  <si>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</si>
  <si>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</si>
  <si>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</si>
  <si>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</si>
  <si>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</si>
  <si>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</si>
  <si>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</si>
  <si>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</si>
  <si>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</si>
  <si>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</si>
  <si>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</si>
  <si>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</si>
  <si>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</si>
  <si>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</si>
  <si>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</si>
  <si>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</si>
  <si>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</si>
  <si>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</si>
  <si>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</si>
  <si>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</si>
  <si>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</si>
  <si>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</si>
  <si>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</si>
  <si>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</si>
  <si>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</si>
  <si>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</si>
  <si>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</si>
  <si>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</si>
  <si>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</si>
  <si>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</si>
  <si>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</si>
  <si>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</si>
  <si>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</si>
  <si>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</si>
  <si>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</si>
  <si>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</si>
  <si>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</si>
  <si>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</si>
  <si>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</si>
  <si>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</si>
  <si>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</si>
  <si>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</si>
  <si>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</si>
  <si>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</si>
  <si>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</si>
  <si>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</si>
  <si>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</si>
  <si>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</si>
  <si>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</si>
  <si>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</si>
  <si>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</si>
  <si>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</si>
  <si>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</si>
  <si>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</si>
  <si>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</si>
  <si>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</si>
  <si>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</si>
  <si>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</si>
  <si>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</si>
  <si>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</si>
  <si>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</si>
  <si>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</si>
  <si>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</si>
  <si>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</si>
  <si>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</si>
  <si>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</si>
  <si>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</si>
  <si>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</si>
  <si>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</si>
  <si>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</si>
  <si>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</si>
  <si>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</si>
  <si>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</si>
  <si>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</si>
  <si>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</si>
  <si>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</si>
  <si>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</si>
  <si>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</si>
  <si>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</si>
  <si>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</si>
  <si>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</si>
  <si>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</si>
  <si>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</si>
  <si>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</si>
  <si>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</si>
  <si>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</si>
  <si>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</si>
  <si>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</si>
  <si>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</si>
  <si>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</si>
  <si>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</si>
  <si>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</si>
  <si>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</si>
  <si>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</si>
  <si>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</si>
  <si>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</si>
  <si>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</si>
  <si>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</si>
  <si>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</si>
  <si>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</si>
  <si>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</si>
  <si>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</si>
  <si>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</si>
  <si>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</si>
  <si>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</si>
  <si>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</si>
  <si>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</si>
  <si>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</si>
  <si>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</si>
  <si>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</si>
  <si>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</si>
  <si>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</si>
  <si>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</si>
  <si>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</si>
  <si>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</si>
  <si>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</si>
  <si>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</si>
  <si>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</si>
  <si>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</si>
  <si>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</si>
  <si>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</si>
  <si>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</si>
  <si>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</si>
  <si>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</si>
  <si>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</si>
  <si>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</si>
  <si>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</si>
  <si>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</si>
  <si>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</si>
  <si>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</si>
  <si>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</si>
  <si>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</si>
  <si>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</si>
  <si>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</si>
  <si>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</si>
  <si>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</si>
  <si>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</si>
  <si>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</si>
  <si>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</si>
  <si>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</si>
  <si>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</si>
  <si>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</si>
  <si>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</si>
  <si>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</si>
  <si>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</si>
  <si>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</si>
  <si>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</si>
  <si>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</si>
  <si>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</si>
  <si>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</si>
  <si>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</si>
  <si>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</si>
  <si>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</si>
  <si>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</si>
  <si>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</si>
  <si>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</si>
  <si>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</si>
  <si>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</si>
  <si>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</si>
  <si>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</si>
  <si>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</si>
  <si>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</si>
  <si>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</si>
  <si>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</si>
  <si>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</si>
  <si>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</si>
  <si>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</si>
  <si>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</si>
  <si>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</si>
  <si>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</si>
  <si>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</si>
  <si>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</si>
  <si>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</si>
  <si>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</si>
  <si>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</si>
  <si>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</si>
  <si>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</si>
  <si>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</si>
  <si>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</si>
  <si>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</si>
  <si>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</si>
  <si>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</si>
  <si>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</si>
  <si>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</si>
  <si>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</si>
  <si>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</si>
  <si>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</si>
  <si>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</si>
  <si>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</si>
  <si>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</si>
  <si>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</si>
  <si>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</si>
  <si>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</si>
  <si>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</si>
  <si>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</si>
  <si>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</si>
  <si>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</si>
  <si>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</si>
  <si>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</si>
  <si>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</si>
  <si>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</si>
  <si>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</si>
  <si>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</si>
  <si>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</si>
  <si>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</si>
  <si>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</si>
  <si>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</si>
  <si>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</si>
  <si>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</si>
  <si>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</si>
  <si>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</si>
  <si>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</si>
  <si>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</si>
  <si>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</si>
  <si>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</si>
  <si>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</si>
  <si>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</si>
  <si>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</si>
  <si>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</si>
  <si>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</si>
  <si>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</si>
  <si>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</si>
  <si>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</si>
  <si>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</si>
  <si>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</si>
  <si>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</si>
  <si>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</si>
  <si>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</si>
  <si>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</si>
  <si>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</si>
  <si>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</si>
  <si>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</si>
  <si>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</si>
  <si>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</si>
  <si>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</si>
  <si>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</si>
  <si>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</si>
  <si>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</si>
  <si>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</si>
  <si>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</si>
  <si>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</si>
  <si>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</si>
  <si>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</si>
  <si>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</si>
  <si>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</si>
  <si>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</si>
  <si>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</si>
  <si>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</si>
  <si>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</si>
  <si>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</si>
  <si>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</si>
  <si>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</si>
  <si>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</si>
  <si>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</si>
  <si>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</si>
  <si>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</si>
  <si>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</si>
  <si>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</si>
  <si>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</si>
  <si>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</si>
  <si>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</si>
  <si>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</si>
  <si>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</si>
  <si>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</si>
  <si>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</si>
  <si>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</si>
  <si>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</si>
  <si>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</si>
  <si>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</si>
  <si>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</si>
  <si>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</si>
  <si>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</si>
  <si>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</si>
  <si>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</si>
  <si>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</si>
  <si>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</si>
  <si>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</si>
  <si>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</si>
  <si>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</si>
  <si>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</si>
  <si>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</si>
  <si>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</si>
  <si>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</si>
  <si>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</si>
  <si>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</si>
  <si>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</si>
  <si>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</si>
  <si>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</si>
  <si>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</si>
  <si>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</si>
  <si>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</si>
  <si>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</si>
  <si>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</si>
  <si>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</si>
  <si>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</si>
  <si>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</si>
  <si>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</si>
  <si>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</si>
  <si>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</si>
  <si>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</si>
  <si>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</si>
  <si>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</si>
  <si>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</si>
  <si>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</si>
  <si>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</si>
  <si>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</si>
  <si>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</si>
  <si>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</si>
  <si>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</si>
  <si>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</si>
  <si>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</si>
  <si>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</si>
  <si>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</si>
  <si>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</si>
  <si>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</si>
  <si>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</si>
  <si>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</si>
  <si>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</si>
  <si>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</si>
  <si>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</si>
  <si>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</si>
  <si>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</si>
  <si>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</si>
  <si>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</si>
  <si>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</si>
  <si>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</si>
  <si>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</si>
  <si>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</si>
  <si>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</si>
  <si>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</si>
  <si>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</si>
  <si>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</si>
  <si>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</si>
  <si>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</si>
  <si>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</si>
  <si>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</si>
  <si>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</si>
  <si>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</si>
  <si>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</si>
  <si>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</si>
  <si>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</si>
  <si>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</si>
  <si>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</si>
  <si>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</si>
  <si>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</si>
  <si>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</si>
  <si>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</si>
  <si>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</si>
  <si>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</si>
  <si>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</si>
  <si>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</si>
  <si>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</si>
  <si>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</si>
  <si>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</si>
  <si>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</si>
  <si>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</si>
  <si>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</si>
  <si>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</si>
  <si>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</si>
  <si>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</si>
  <si>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</si>
  <si>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</si>
  <si>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</si>
  <si>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</si>
  <si>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</si>
  <si>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</si>
  <si>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</si>
  <si>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</si>
  <si>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</si>
  <si>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</si>
  <si>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</si>
  <si>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</si>
  <si>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</si>
  <si>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</si>
  <si>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</si>
  <si>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</si>
  <si>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</si>
  <si>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</si>
  <si>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</si>
  <si>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</si>
  <si>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</si>
  <si>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</si>
  <si>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</si>
  <si>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</si>
  <si>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</si>
  <si>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</si>
  <si>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</si>
  <si>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</si>
  <si>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</si>
  <si>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</si>
  <si>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</si>
  <si>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</si>
  <si>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</si>
  <si>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</si>
  <si>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</si>
  <si>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</si>
  <si>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</si>
  <si>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</si>
  <si>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</si>
  <si>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</si>
  <si>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</si>
  <si>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</si>
  <si>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</si>
  <si>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</si>
  <si>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</si>
  <si>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</si>
  <si>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</si>
  <si>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</si>
  <si>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</si>
  <si>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</si>
  <si>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</si>
  <si>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</si>
  <si>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</si>
  <si>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</si>
  <si>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</si>
  <si>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</si>
  <si>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</si>
  <si>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</si>
  <si>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</si>
  <si>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</si>
  <si>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</si>
  <si>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</si>
  <si>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</si>
  <si>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</si>
  <si>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</si>
  <si>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</si>
  <si>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</si>
  <si>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</si>
  <si>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</si>
  <si>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</si>
  <si>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</si>
  <si>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</si>
  <si>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</si>
  <si>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</si>
  <si>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</si>
  <si>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</si>
  <si>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</si>
  <si>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</si>
  <si>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</si>
  <si>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</si>
  <si>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</si>
  <si>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</si>
  <si>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</si>
  <si>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</si>
  <si>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</si>
  <si>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</si>
  <si>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</si>
  <si>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</si>
  <si>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</si>
  <si>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</si>
  <si>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</si>
  <si>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</si>
  <si>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</si>
  <si>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</si>
  <si>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</si>
  <si>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</si>
  <si>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</si>
  <si>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</si>
  <si>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</si>
  <si>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</si>
  <si>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</si>
  <si>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</si>
  <si>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</si>
  <si>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</si>
  <si>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</si>
  <si>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</si>
  <si>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</si>
  <si>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</si>
  <si>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</si>
  <si>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</si>
  <si>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</si>
  <si>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</si>
  <si>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</si>
  <si>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</si>
  <si>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</si>
  <si>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</si>
  <si>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</si>
  <si>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</si>
  <si>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</si>
  <si>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</si>
  <si>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</si>
  <si>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</si>
  <si>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</si>
  <si>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</si>
  <si>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</si>
  <si>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</si>
  <si>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</si>
  <si>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</si>
  <si>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</si>
  <si>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</si>
  <si>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</si>
  <si>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</si>
  <si>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</si>
  <si>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</si>
  <si>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</si>
  <si>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</si>
  <si>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</si>
  <si>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</si>
  <si>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</si>
  <si>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</si>
  <si>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</si>
  <si>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</si>
  <si>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</si>
  <si>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</si>
  <si>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</si>
  <si>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</si>
  <si>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</si>
  <si>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</si>
  <si>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</si>
  <si>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</si>
  <si>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</si>
  <si>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</si>
  <si>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</si>
  <si>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</si>
  <si>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</si>
  <si>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</si>
  <si>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</si>
  <si>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</si>
  <si>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</si>
  <si>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</si>
  <si>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</si>
  <si>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</si>
  <si>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</si>
  <si>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</si>
  <si>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</si>
  <si>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</si>
  <si>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</si>
  <si>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</si>
  <si>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</si>
  <si>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</si>
  <si>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</si>
  <si>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</si>
  <si>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</si>
  <si>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</si>
  <si>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</si>
  <si>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</si>
  <si>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</si>
  <si>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</si>
  <si>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</si>
  <si>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</si>
  <si>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</si>
  <si>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</si>
  <si>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</si>
  <si>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</si>
  <si>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</si>
  <si>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</si>
  <si>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</si>
  <si>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</si>
  <si>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</si>
  <si>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</si>
  <si>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</si>
  <si>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</si>
  <si>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</si>
  <si>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</si>
  <si>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</si>
  <si>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</si>
  <si>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</si>
  <si>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</si>
  <si>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</si>
  <si>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</si>
  <si>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</si>
  <si>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</si>
  <si>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</si>
  <si>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</si>
  <si>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</si>
  <si>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</si>
  <si>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</si>
  <si>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</si>
  <si>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</si>
  <si>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</si>
  <si>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</si>
  <si>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</si>
  <si>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</si>
  <si>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</si>
  <si>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</si>
  <si>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</si>
  <si>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</si>
  <si>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</si>
  <si>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</si>
  <si>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</si>
  <si>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</si>
  <si>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</si>
  <si>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</si>
  <si>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</si>
  <si>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</si>
  <si>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</si>
  <si>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</si>
  <si>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</si>
  <si>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</si>
  <si>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</si>
  <si>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</si>
  <si>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</si>
  <si>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</si>
  <si>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</si>
  <si>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</si>
  <si>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</si>
  <si>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</si>
  <si>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</si>
  <si>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</si>
  <si>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</si>
  <si>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</si>
  <si>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</si>
  <si>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</si>
  <si>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</si>
  <si>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</si>
  <si>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</si>
  <si>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</si>
  <si>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</si>
  <si>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</si>
  <si>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</si>
  <si>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</si>
  <si>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</si>
  <si>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</si>
  <si>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</si>
  <si>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</si>
  <si>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</si>
  <si>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</si>
  <si>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</si>
  <si>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</si>
  <si>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</si>
  <si>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</si>
  <si>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</si>
  <si>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</si>
  <si>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</si>
  <si>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</si>
  <si>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</si>
  <si>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</si>
  <si>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</si>
  <si>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</si>
  <si>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</si>
  <si>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</si>
  <si>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</si>
  <si>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</si>
  <si>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</si>
  <si>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</si>
  <si>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</si>
  <si>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</si>
  <si>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</si>
  <si>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</si>
  <si>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</si>
  <si>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</si>
  <si>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</si>
  <si>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</si>
  <si>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</si>
  <si>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</si>
  <si>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</si>
  <si>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</si>
  <si>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</si>
  <si>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</si>
  <si>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</si>
  <si>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</si>
  <si>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</si>
  <si>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</si>
  <si>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</si>
  <si>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</si>
  <si>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</si>
  <si>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</si>
  <si>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</si>
  <si>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</si>
  <si>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</si>
  <si>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</si>
  <si>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</si>
  <si>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</si>
  <si>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</si>
  <si>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</si>
  <si>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</si>
  <si>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</si>
  <si>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</si>
  <si>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</si>
  <si>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</si>
  <si>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</si>
  <si>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</si>
  <si>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</si>
  <si>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</si>
  <si>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</si>
  <si>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</si>
  <si>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</si>
  <si>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</si>
  <si>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</si>
  <si>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</si>
  <si>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</si>
  <si>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</si>
  <si>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</si>
  <si>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</si>
  <si>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</si>
  <si>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</si>
  <si>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</si>
  <si>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</si>
  <si>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</si>
  <si>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</si>
  <si>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</si>
  <si>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</si>
  <si>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</si>
  <si>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</si>
  <si>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</si>
  <si>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</si>
  <si>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</si>
  <si>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</si>
  <si>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</si>
  <si>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</si>
  <si>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</si>
  <si>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</si>
  <si>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</si>
  <si>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</si>
  <si>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</si>
  <si>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</si>
  <si>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</si>
  <si>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</si>
  <si>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</si>
  <si>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</si>
  <si>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</si>
  <si>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</si>
  <si>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</si>
  <si>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</si>
  <si>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</si>
  <si>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</si>
  <si>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</si>
  <si>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</si>
  <si>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</si>
  <si>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</si>
  <si>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</si>
  <si>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</si>
  <si>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</si>
  <si>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</si>
  <si>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</si>
  <si>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</si>
  <si>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</si>
  <si>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</si>
  <si>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</si>
  <si>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</si>
  <si>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</si>
  <si>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</si>
  <si>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</si>
  <si>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</si>
  <si>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</si>
  <si>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</si>
  <si>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</si>
  <si>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</si>
  <si>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</si>
  <si>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</si>
  <si>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</si>
  <si>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</si>
  <si>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</si>
  <si>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</si>
  <si>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</si>
  <si>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</si>
  <si>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</si>
  <si>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</si>
  <si>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</si>
  <si>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</si>
  <si>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</si>
  <si>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</si>
  <si>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</si>
  <si>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</si>
  <si>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</si>
  <si>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</si>
  <si>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</si>
  <si>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</si>
  <si>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</si>
  <si>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</si>
  <si>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</si>
  <si>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</si>
  <si>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</si>
  <si>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</si>
  <si>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</si>
  <si>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</si>
  <si>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</si>
  <si>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</si>
  <si>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</si>
  <si>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</si>
  <si>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</si>
  <si>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</si>
  <si>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</si>
  <si>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</si>
  <si>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</si>
  <si>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</si>
  <si>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</si>
  <si>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</si>
  <si>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</si>
  <si>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</si>
  <si>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</si>
  <si>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</si>
  <si>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</si>
  <si>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</si>
  <si>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</si>
  <si>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</si>
  <si>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</si>
  <si>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</si>
  <si>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</si>
  <si>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</si>
  <si>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</si>
  <si>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</si>
  <si>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</si>
  <si>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</si>
  <si>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</si>
  <si>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</si>
  <si>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</si>
  <si>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</si>
  <si>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</si>
  <si>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</si>
  <si>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</si>
  <si>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</si>
  <si>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</si>
  <si>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</si>
  <si>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</si>
  <si>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</si>
  <si>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</si>
  <si>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</si>
  <si>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</si>
  <si>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</si>
  <si>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</si>
  <si>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</si>
  <si>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</si>
  <si>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</si>
  <si>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</si>
  <si>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</si>
  <si>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</si>
  <si>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</si>
  <si>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</si>
  <si>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</si>
  <si>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</si>
  <si>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</si>
  <si>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</si>
  <si>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</si>
  <si>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</si>
  <si>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</si>
  <si>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</si>
  <si>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</si>
  <si>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</si>
  <si>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</si>
  <si>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</si>
  <si>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</si>
  <si>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</si>
  <si>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</si>
  <si>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</si>
  <si>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</si>
  <si>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</si>
  <si>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</si>
  <si>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</si>
  <si>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</si>
  <si>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</si>
  <si>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</si>
  <si>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</si>
  <si>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</si>
  <si>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</si>
  <si>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</si>
  <si>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</si>
  <si>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</si>
  <si>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</si>
  <si>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</si>
  <si>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</si>
  <si>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</si>
  <si>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</si>
  <si>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</si>
  <si>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</si>
  <si>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</si>
  <si>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</si>
  <si>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</si>
  <si>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</si>
  <si>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</si>
  <si>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</si>
  <si>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</si>
  <si>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</si>
  <si>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</si>
  <si>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</si>
  <si>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</si>
  <si>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</si>
  <si>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</si>
  <si>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</si>
  <si>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</si>
  <si>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</si>
  <si>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</si>
  <si>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</si>
  <si>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</si>
  <si>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</si>
  <si>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</si>
  <si>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</si>
  <si>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</si>
  <si>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</si>
  <si>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</si>
  <si>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</si>
  <si>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</si>
  <si>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</si>
  <si>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</si>
  <si>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</si>
  <si>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</si>
  <si>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</si>
  <si>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</si>
  <si>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</si>
  <si>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</si>
  <si>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</si>
  <si>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</si>
  <si>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</si>
  <si>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</si>
  <si>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</si>
  <si>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</si>
  <si>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</si>
  <si>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</si>
  <si>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</si>
  <si>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</si>
  <si>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</si>
  <si>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</si>
  <si>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</si>
  <si>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</si>
  <si>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</si>
  <si>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</si>
  <si>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</si>
  <si>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</si>
  <si>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</si>
  <si>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</si>
  <si>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</si>
  <si>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</si>
  <si>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</si>
  <si>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</si>
  <si>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</si>
  <si>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</si>
  <si>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</si>
  <si>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</si>
  <si>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</si>
  <si>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</si>
  <si>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</si>
  <si>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</si>
  <si>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</si>
  <si>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</si>
  <si>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</si>
  <si>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</si>
  <si>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</si>
  <si>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</si>
  <si>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</si>
  <si>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</si>
  <si>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</si>
  <si>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</si>
  <si>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</si>
  <si>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</si>
  <si>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</si>
  <si>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</si>
  <si>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</si>
  <si>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</si>
  <si>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</si>
  <si>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</si>
  <si>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</si>
  <si>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</si>
  <si>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</si>
  <si>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</si>
  <si>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</si>
  <si>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</si>
  <si>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</si>
  <si>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</si>
  <si>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</si>
  <si>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</si>
  <si>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</si>
  <si>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</si>
  <si>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</si>
  <si>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</si>
  <si>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</si>
  <si>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</si>
  <si>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</si>
  <si>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</si>
  <si>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</si>
  <si>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</si>
  <si>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</si>
  <si>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</si>
  <si>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</si>
  <si>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</si>
  <si>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</si>
  <si>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</si>
  <si>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</si>
  <si>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</si>
  <si>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</si>
  <si>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</si>
  <si>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</si>
  <si>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</si>
  <si>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</si>
  <si>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</si>
  <si>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</si>
  <si>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</si>
  <si>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</si>
  <si>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</si>
  <si>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</si>
  <si>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</si>
  <si>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</si>
  <si>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</si>
  <si>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</si>
  <si>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</si>
  <si>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</si>
  <si>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</si>
  <si>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</si>
  <si>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</si>
  <si>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</si>
  <si>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</si>
  <si>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</si>
  <si>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</si>
  <si>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</si>
  <si>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</si>
  <si>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</si>
  <si>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</si>
  <si>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</si>
  <si>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</si>
  <si>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</si>
  <si>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</si>
  <si>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</si>
  <si>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</si>
  <si>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</si>
  <si>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</si>
  <si>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</si>
  <si>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</si>
  <si>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</si>
  <si>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</si>
  <si>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</si>
  <si>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</si>
  <si>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</si>
  <si>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</si>
  <si>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</si>
  <si>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</si>
  <si>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</si>
  <si>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</si>
  <si>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</si>
  <si>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</si>
  <si>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</si>
  <si>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</si>
  <si>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</si>
  <si>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</si>
  <si>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</si>
  <si>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</si>
  <si>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</si>
  <si>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</si>
  <si>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</si>
  <si>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</si>
  <si>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</si>
  <si>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</si>
  <si>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</si>
  <si>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</si>
  <si>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</si>
  <si>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</si>
  <si>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</si>
  <si>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</si>
  <si>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</si>
  <si>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</si>
  <si>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</si>
  <si>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</si>
  <si>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</si>
  <si>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</si>
  <si>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</si>
  <si>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</si>
  <si>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</si>
  <si>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</si>
  <si>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</si>
  <si>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</si>
  <si>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</si>
  <si>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</si>
  <si>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</si>
  <si>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</si>
  <si>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</si>
  <si>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</si>
  <si>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</si>
  <si>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</si>
  <si>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</si>
  <si>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</si>
  <si>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</si>
  <si>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</si>
  <si>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</si>
  <si>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</si>
  <si>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</si>
  <si>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</si>
  <si>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</si>
  <si>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</si>
  <si>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</si>
  <si>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</si>
  <si>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</si>
  <si>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</si>
  <si>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</si>
  <si>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</si>
  <si>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</si>
  <si>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</si>
  <si>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</si>
  <si>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</si>
  <si>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</si>
  <si>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</si>
  <si>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</si>
  <si>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</si>
  <si>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</si>
  <si>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</si>
  <si>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</si>
  <si>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</si>
  <si>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</si>
  <si>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</si>
  <si>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</si>
  <si>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</si>
  <si>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</si>
  <si>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</si>
  <si>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</si>
  <si>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</si>
  <si>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</si>
  <si>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</si>
  <si>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</si>
  <si>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</si>
  <si>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</si>
  <si>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</si>
  <si>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</si>
  <si>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</si>
  <si>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</si>
  <si>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</si>
  <si>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</si>
  <si>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</si>
  <si>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</si>
  <si>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</si>
  <si>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</si>
  <si>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</si>
  <si>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</si>
  <si>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</si>
  <si>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</si>
  <si>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</si>
  <si>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</si>
  <si>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</si>
  <si>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</si>
  <si>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</si>
  <si>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</si>
  <si>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</si>
  <si>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</si>
  <si>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</si>
  <si>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</si>
  <si>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</si>
  <si>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</si>
  <si>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</si>
  <si>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</si>
  <si>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</si>
  <si>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</si>
  <si>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</si>
  <si>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</si>
  <si>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</si>
  <si>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</si>
  <si>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</si>
  <si>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</si>
  <si>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</si>
  <si>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</si>
  <si>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</si>
  <si>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</si>
  <si>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</si>
  <si>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</si>
  <si>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</si>
  <si>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</si>
  <si>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</si>
  <si>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</si>
  <si>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</si>
  <si>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</si>
  <si>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</si>
  <si>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</si>
  <si>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</si>
  <si>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</si>
  <si>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</si>
  <si>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</si>
  <si>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</si>
  <si>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</si>
  <si>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</si>
  <si>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</si>
  <si>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</si>
  <si>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</si>
  <si>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</si>
  <si>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</si>
  <si>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</si>
  <si>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</si>
  <si>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</si>
  <si>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</si>
  <si>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</si>
  <si>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</si>
  <si>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</si>
  <si>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</si>
  <si>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</si>
  <si>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</si>
  <si>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</si>
  <si>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</si>
  <si>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</si>
  <si>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</si>
  <si>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</si>
  <si>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</si>
  <si>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</si>
  <si>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</si>
  <si>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</si>
  <si>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</si>
  <si>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</si>
  <si>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</si>
  <si>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</si>
  <si>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</si>
  <si>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</si>
  <si>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</si>
  <si>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</si>
  <si>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</si>
  <si>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</si>
  <si>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</si>
  <si>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</si>
  <si>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</si>
  <si>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</si>
  <si>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</si>
  <si>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</si>
  <si>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</si>
  <si>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</si>
  <si>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</si>
  <si>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</si>
  <si>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</si>
  <si>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</si>
  <si>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</si>
  <si>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</si>
  <si>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</si>
  <si>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</si>
  <si>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</si>
  <si>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</si>
  <si>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</si>
  <si>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</si>
  <si>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</si>
  <si>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</si>
  <si>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</si>
  <si>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</si>
  <si>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</si>
  <si>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</si>
  <si>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</si>
  <si>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</si>
  <si>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</si>
  <si>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</si>
  <si>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</si>
  <si>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</si>
  <si>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</si>
  <si>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</si>
  <si>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</si>
  <si>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</si>
  <si>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</si>
  <si>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</si>
  <si>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</si>
  <si>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</si>
  <si>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</si>
  <si>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</si>
  <si>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</si>
  <si>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</si>
  <si>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</si>
  <si>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</si>
  <si>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</si>
  <si>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</si>
  <si>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</si>
  <si>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</si>
  <si>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</si>
  <si>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</si>
  <si>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</si>
  <si>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</si>
  <si>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</si>
  <si>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</si>
  <si>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</si>
  <si>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</si>
  <si>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</si>
  <si>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</si>
  <si>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</si>
  <si>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</si>
  <si>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</si>
  <si>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</si>
  <si>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</si>
  <si>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</si>
  <si>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</si>
  <si>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</si>
  <si>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</si>
  <si>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</si>
  <si>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</si>
  <si>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</si>
  <si>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</si>
  <si>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</si>
  <si>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</si>
  <si>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</si>
  <si>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</si>
  <si>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</si>
  <si>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</si>
  <si>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</si>
  <si>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</si>
  <si>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</si>
  <si>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</si>
  <si>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</si>
  <si>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</si>
  <si>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</si>
  <si>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</si>
  <si>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</si>
  <si>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</si>
  <si>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</si>
  <si>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</si>
  <si>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</si>
  <si>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</si>
  <si>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</si>
  <si>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</si>
  <si>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</si>
  <si>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</si>
  <si>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</si>
  <si>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</si>
  <si>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</si>
  <si>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</si>
  <si>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</si>
  <si>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</si>
  <si>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</si>
  <si>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</si>
  <si>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</si>
  <si>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</si>
  <si>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</si>
  <si>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</si>
  <si>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</si>
  <si>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</si>
  <si>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</si>
  <si>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</si>
  <si>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</si>
  <si>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</si>
  <si>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</si>
  <si>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</si>
  <si>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</si>
  <si>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</si>
  <si>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</si>
  <si>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</si>
  <si>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</si>
  <si>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</si>
  <si>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</si>
  <si>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</si>
  <si>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</si>
  <si>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</si>
  <si>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</si>
  <si>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</si>
  <si>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</si>
  <si>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</si>
  <si>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</si>
  <si>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</si>
  <si>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</si>
  <si>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</si>
  <si>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</si>
  <si>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</si>
  <si>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</si>
  <si>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</si>
  <si>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</si>
  <si>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</si>
  <si>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</si>
  <si>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</si>
  <si>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</si>
  <si>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</si>
  <si>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</si>
  <si>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</si>
  <si>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</si>
  <si>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</si>
  <si>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</si>
  <si>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</si>
  <si>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</si>
  <si>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</si>
  <si>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</si>
  <si>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</si>
  <si>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</si>
  <si>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</si>
  <si>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</si>
  <si>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</si>
  <si>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</si>
  <si>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</si>
  <si>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</si>
  <si>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</si>
  <si>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</si>
  <si>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</si>
  <si>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</si>
  <si>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</si>
  <si>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</si>
  <si>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</si>
  <si>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</si>
  <si>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</si>
  <si>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</si>
  <si>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</si>
  <si>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</si>
  <si>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</si>
  <si>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</si>
  <si>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</si>
  <si>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</si>
  <si>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</si>
  <si>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</si>
  <si>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</si>
  <si>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</si>
  <si>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</si>
  <si>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</si>
  <si>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</si>
  <si>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</si>
  <si>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</si>
  <si>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</si>
  <si>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</si>
  <si>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</si>
  <si>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</si>
  <si>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</si>
  <si>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</si>
  <si>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</si>
  <si>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</si>
  <si>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</si>
  <si>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</si>
  <si>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</si>
  <si>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</si>
  <si>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</si>
  <si>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</si>
  <si>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</si>
  <si>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</si>
  <si>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</si>
  <si>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</si>
  <si>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</si>
  <si>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</si>
  <si>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</si>
  <si>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</si>
  <si>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</si>
  <si>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</si>
  <si>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</si>
  <si>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</si>
  <si>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</si>
  <si>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</si>
  <si>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</si>
  <si>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</si>
  <si>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</si>
  <si>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</si>
  <si>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</si>
  <si>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</si>
  <si>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</si>
  <si>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</si>
  <si>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Izvještajna godina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</si>
  <si>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</si>
  <si>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</si>
  <si>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</si>
  <si>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</si>
  <si>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</si>
  <si>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</si>
  <si>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</si>
  <si>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</si>
  <si>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</si>
  <si>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</si>
  <si>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</si>
  <si>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</si>
  <si>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</si>
  <si>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</si>
  <si>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O predlošku</t>
  </si>
  <si>
    <t xml:space="preserve">Ovaj predložak se koristi za popunjavanje i štampanje obrazaca svih tipova finansijskih izvještaja, odnosno Izjave o neaktivnosti. </t>
  </si>
  <si>
    <t>Kompatibilnost: Microsoft Office 2007 i noviji; LibreOffice.</t>
  </si>
  <si>
    <t>Jezične varijante: bosanski jezik, hrvatski jezik.</t>
  </si>
  <si>
    <t>Strogo je zabranjeno mijenjati nazive sheet-ova (listova), dodavanje novih ili uklanjanje postojećih sheet-ova!</t>
  </si>
  <si>
    <t>Prije popunjavanja</t>
  </si>
  <si>
    <t>Provjerite jeste li instalirali font za ispisivanje barkodova</t>
  </si>
  <si>
    <t>(link)</t>
  </si>
  <si>
    <t>Omogućiti automatsku kalkulaciju formula:</t>
  </si>
  <si>
    <r>
      <t xml:space="preserve">Microsoft Excel: </t>
    </r>
    <r>
      <rPr>
        <sz val="11"/>
        <color rgb="FF000000"/>
        <rFont val="Source Sans Pro"/>
        <family val="2"/>
      </rPr>
      <t>File -&gt; Options -&gt; Formulas -&gt; Workbook Calculation -&gt; Automatic</t>
    </r>
  </si>
  <si>
    <r>
      <t xml:space="preserve">LibreOffice Calc: </t>
    </r>
    <r>
      <rPr>
        <sz val="11"/>
        <color rgb="FF000000"/>
        <rFont val="Source Sans Pro"/>
        <family val="2"/>
      </rPr>
      <t>Data -&gt; Calculate -&gt; AutoCalculate</t>
    </r>
  </si>
  <si>
    <t>Osnovni podaci (OsnPodaci)</t>
  </si>
  <si>
    <t>Ovaj list se mora popuniti, odštampati i predati zajedno s drugim neophodnim obrascima iz seta, bez obzira na tip izvještaja.</t>
  </si>
  <si>
    <t>Subjekt predaje finansijskog izvještaja ne ovjerava i ne potpisuje ovaj list.</t>
  </si>
  <si>
    <r>
      <t>Rubriku u gornjem desnom uglu ("</t>
    </r>
    <r>
      <rPr>
        <b/>
        <sz val="11"/>
        <color rgb="FF000000"/>
        <rFont val="Calibri"/>
        <family val="2"/>
      </rPr>
      <t>Ovjerava FIA</t>
    </r>
    <r>
      <rPr>
        <sz val="11"/>
        <color rgb="FF000000"/>
        <rFont val="Calibri"/>
        <family val="2"/>
      </rPr>
      <t xml:space="preserve">") ovjerava referent FIA-e. </t>
    </r>
  </si>
  <si>
    <t>Preporučujemo da se podaci preneseni s weba u Excel pregledaju, kontrolišu i po potrebi isprave i dopune.</t>
  </si>
  <si>
    <t xml:space="preserve">U narandžaste rubrike unijeti pripadajući tekst ili cifre. </t>
  </si>
  <si>
    <t>U plavim rubrikama izabrati jedno od ponuđenog s liste.</t>
  </si>
  <si>
    <t>Kako biste spriječili probleme kod popunjavanja podataka o datumu, preporuka je da regionalne postavke na računaru budu podešene za Bosnu i Hercegovinu, format datuma: dd.mm.gggg (dd.mm.yyyy)</t>
  </si>
  <si>
    <r>
      <rPr>
        <b/>
        <sz val="11"/>
        <color rgb="FF000000"/>
        <rFont val="Calibri"/>
        <family val="2"/>
      </rPr>
      <t>Datume</t>
    </r>
    <r>
      <rPr>
        <sz val="11"/>
        <color rgb="FF000000"/>
        <rFont val="Calibri"/>
        <family val="2"/>
        <charset val="1"/>
      </rPr>
      <t xml:space="preserve"> unositi u formatu "dd.mm.yyyy", bez tačke na kraju godine, npr. "17.11.2022" (za 17. novembar 2022.).</t>
    </r>
  </si>
  <si>
    <r>
      <t xml:space="preserve">Rubrike </t>
    </r>
    <r>
      <rPr>
        <b/>
        <sz val="11"/>
        <color rgb="FF000000"/>
        <rFont val="Calibri"/>
        <family val="2"/>
      </rPr>
      <t>"Od"</t>
    </r>
    <r>
      <rPr>
        <sz val="11"/>
        <color rgb="FF000000"/>
        <rFont val="Calibri"/>
        <family val="2"/>
        <charset val="1"/>
      </rPr>
      <t xml:space="preserve"> i </t>
    </r>
    <r>
      <rPr>
        <b/>
        <sz val="11"/>
        <color rgb="FF000000"/>
        <rFont val="Calibri"/>
        <family val="2"/>
      </rPr>
      <t>"Do"</t>
    </r>
    <r>
      <rPr>
        <sz val="11"/>
        <color rgb="FF000000"/>
        <rFont val="Calibri"/>
        <family val="2"/>
        <charset val="1"/>
      </rPr>
      <t xml:space="preserve"> odnose se na interval izvještavanja (npr. od 1.1.2022 do 31.12.2022).</t>
    </r>
  </si>
  <si>
    <r>
      <rPr>
        <b/>
        <sz val="11"/>
        <color rgb="FF000000"/>
        <rFont val="Calibri"/>
        <family val="2"/>
      </rPr>
      <t>Brojevi telefona</t>
    </r>
    <r>
      <rPr>
        <sz val="11"/>
        <color rgb="FF000000"/>
        <rFont val="Calibri"/>
        <family val="2"/>
        <charset val="1"/>
      </rPr>
      <t xml:space="preserve">: unijeti samo cifre, bez razmaka i specijalnih karaktera. </t>
    </r>
  </si>
  <si>
    <r>
      <rPr>
        <b/>
        <sz val="11"/>
        <color rgb="FF000000"/>
        <rFont val="Calibri"/>
        <family val="2"/>
      </rPr>
      <t>E-mail adrese</t>
    </r>
    <r>
      <rPr>
        <sz val="11"/>
        <color rgb="FF000000"/>
        <rFont val="Calibri"/>
        <family val="2"/>
      </rPr>
      <t xml:space="preserve"> moraju uključivati simbol "@" i domen, inače neće biti prihvaćene. </t>
    </r>
  </si>
  <si>
    <t>Ponuđena vrijednost PDV broja se može naknadno izmijeniti ako ponuđena vrijednost nije ispravna.</t>
  </si>
  <si>
    <t>Sljedeća polja se učitavaju automatski nakon unosa ili odabira u drugim rubrikama:</t>
  </si>
  <si>
    <r>
      <t xml:space="preserve">naziv pravnog lica u obojenom pojasu na vrhu, </t>
    </r>
    <r>
      <rPr>
        <sz val="11"/>
        <color rgb="FF000000"/>
        <rFont val="Calibri"/>
        <family val="2"/>
      </rPr>
      <t>po unosu naziva pravnog lica</t>
    </r>
  </si>
  <si>
    <r>
      <t>šifra opštine,</t>
    </r>
    <r>
      <rPr>
        <sz val="11"/>
        <color rgb="FF000000"/>
        <rFont val="Calibri"/>
        <family val="2"/>
      </rPr>
      <t xml:space="preserve"> po odabiru sjedišta</t>
    </r>
  </si>
  <si>
    <r>
      <t xml:space="preserve">opis djelatnosti, </t>
    </r>
    <r>
      <rPr>
        <sz val="11"/>
        <color rgb="FF000000"/>
        <rFont val="Calibri"/>
        <family val="2"/>
      </rPr>
      <t>po unesenoj šifri djelatnosti</t>
    </r>
  </si>
  <si>
    <r>
      <t xml:space="preserve">naziv banke, </t>
    </r>
    <r>
      <rPr>
        <sz val="11"/>
        <color rgb="FF000000"/>
        <rFont val="Calibri"/>
        <family val="2"/>
      </rPr>
      <t>po unosu broja transakcionog računa</t>
    </r>
  </si>
  <si>
    <r>
      <t xml:space="preserve">PDV broj, </t>
    </r>
    <r>
      <rPr>
        <sz val="11"/>
        <color rgb="FF000000"/>
        <rFont val="Calibri"/>
        <family val="2"/>
      </rPr>
      <t>po odabiru u rubrici "PDV obveznik"</t>
    </r>
  </si>
  <si>
    <r>
      <t xml:space="preserve">JIB+ </t>
    </r>
    <r>
      <rPr>
        <sz val="11"/>
        <color rgb="FF000000"/>
        <rFont val="Calibri"/>
        <family val="2"/>
      </rPr>
      <t>nakon unosa JIB-a, tipa izvještaja, izvještajne godine i datuma sastavljanja</t>
    </r>
  </si>
  <si>
    <t>JIB+ je jedinstveni identifikacioni broj finansijskog izvještaja u Registru.</t>
  </si>
  <si>
    <t>Podaci u zaglavlju i podnožju obrazaca (BS, BU...) se povlače s lista OsnPodaci i popunjavaju automatski. Njihova direktna izmjena na pojedinačnim obrascima u pravilu nije dopuštena.</t>
  </si>
  <si>
    <t>Prvobitno uneseni datum sastavljanja izvještaja se ne mijenja, sve do zaključenja izvještaja.</t>
  </si>
  <si>
    <t>Strogo je zabranjeno naknadno mijenjanje podataka u rubrici koja sadrži ime i prezime računovođe, odnosno naziv revizorskog društva.</t>
  </si>
  <si>
    <t>Provjeriti da li se osnovni podaci ispravno prenose na zaglavlje i u podnožje obrazaca.</t>
  </si>
  <si>
    <t>Obrasci finansijskog izvještaja</t>
  </si>
  <si>
    <t>U obrasce se unose iznosi pojedinačnih AOP oznaka. Sumarne AOP oznake su zaštićene, u njih nije moguć unos, a računaju se automatski na osnovu upisanih pojedinačnih iznosa.</t>
  </si>
  <si>
    <t xml:space="preserve">Svi iznosi upisuju se kao cijeli brojevi. </t>
  </si>
  <si>
    <t>Većina obrazaca sadrži kontrolni broj, koji se generiše autonomno, na osnovu unesenih računovodstvenih podataka u obrascu.</t>
  </si>
  <si>
    <t>Osigurava istovjetnost elektronske i štampane verzije obrasca.</t>
  </si>
  <si>
    <t>Prazan obrazac u koji nije upisana nijedna cifra (računajući i nulu) ima specijalnu vrijednost kontrolnog broja. Prazan obrazac je u smislu predaje isti kao obrazac koji nije dostavljen.</t>
  </si>
  <si>
    <t>Polja koja sadrže kontrolne brojeve se ne smiju mijenjati ni brisati!</t>
  </si>
  <si>
    <t>Popunjavanje obrazaca</t>
  </si>
  <si>
    <t>Kod popunjavanja predloška, nepotrebni obrasci se preskaču (ne uklanjaju se iz Excela, niti im se mijenjaju nazivi).</t>
  </si>
  <si>
    <r>
      <rPr>
        <b/>
        <sz val="11"/>
        <rFont val="Calibri"/>
        <family val="2"/>
      </rPr>
      <t>Redovni, vanredni, konsolidovani, stečaj, likvidacioni, statusne promjene</t>
    </r>
    <r>
      <rPr>
        <sz val="11"/>
        <rFont val="Calibri"/>
        <family val="2"/>
      </rPr>
      <t xml:space="preserve"> – i njihove izmijenjene verzije: popuniti sve obavezne obrasce.</t>
    </r>
  </si>
  <si>
    <r>
      <rPr>
        <b/>
        <sz val="11"/>
        <color rgb="FF000000"/>
        <rFont val="Calibri"/>
        <family val="2"/>
      </rPr>
      <t>Izjava o neaktivnosti</t>
    </r>
    <r>
      <rPr>
        <sz val="11"/>
        <color rgb="FF000000"/>
        <rFont val="Calibri"/>
        <family val="2"/>
        <charset val="1"/>
      </rPr>
      <t>: popuniti osnovne podatke (Izjava o neaktivnosti se popunjava sama).</t>
    </r>
  </si>
  <si>
    <r>
      <rPr>
        <b/>
        <sz val="11"/>
        <color rgb="FF000000"/>
        <rFont val="Calibri"/>
        <family val="2"/>
      </rPr>
      <t>Revizorski izvještaji</t>
    </r>
    <r>
      <rPr>
        <sz val="11"/>
        <color rgb="FF000000"/>
        <rFont val="Calibri"/>
        <family val="2"/>
        <charset val="1"/>
      </rPr>
      <t>: popuniti samo osnovne podatke.</t>
    </r>
  </si>
  <si>
    <r>
      <t>Imenovanje dokumenta:</t>
    </r>
    <r>
      <rPr>
        <b/>
        <sz val="11"/>
        <color rgb="FFFF0000"/>
        <rFont val="Calibri"/>
        <family val="2"/>
      </rPr>
      <t xml:space="preserve"> &lt;JIB&gt; &lt;tip izvještaja&gt; &lt;izvještajna godina&gt;.xlsx</t>
    </r>
    <r>
      <rPr>
        <sz val="11"/>
        <color rgb="FF000000"/>
        <rFont val="Calibri"/>
        <family val="2"/>
        <charset val="1"/>
      </rPr>
      <t xml:space="preserve">, npr. </t>
    </r>
    <r>
      <rPr>
        <b/>
        <sz val="11"/>
        <color rgb="FF000000"/>
        <rFont val="Calibri"/>
        <family val="2"/>
      </rPr>
      <t>4200000000111 Redovni 2022.xlsx.</t>
    </r>
  </si>
  <si>
    <t>Kontrola izvještaja</t>
  </si>
  <si>
    <t>Otvoriti</t>
  </si>
  <si>
    <t>https://fia.ba/bs/kontrola-finansijskih-izvjestaja-2022</t>
  </si>
  <si>
    <t xml:space="preserve">Omogućena formalno-pravna, matematska i logička kontrola izvještaja. </t>
  </si>
  <si>
    <t>Lančana kontrola se provodi isključivo na šalterima FIA-e.</t>
  </si>
  <si>
    <t>Kontrola se ne provodi nad obrascima pripremljenim u Wordovim predlošcima, niti nad obrascima OVN, ONŠ, TZ, ZS, Izjava o neaktivnosti, Izjava o primijenjenom standardu, Obavijest o razvrstavanju.</t>
  </si>
  <si>
    <t>Snimanje na elektronski medij</t>
  </si>
  <si>
    <t>Elektronska verzija finansijskog izvještaja se predaje online ili se snima na CD, DVD ili USB medij, i predaje zajedno sa štampanom verzijom.</t>
  </si>
  <si>
    <r>
      <t>Na medij se snimaju popunjen Excelov predložak (</t>
    </r>
    <r>
      <rPr>
        <b/>
        <sz val="11"/>
        <color rgb="FFFF0000"/>
        <rFont val="Calibri"/>
        <family val="2"/>
      </rPr>
      <t>isključivo format XLSX</t>
    </r>
    <r>
      <rPr>
        <sz val="11"/>
        <color rgb="FF000000"/>
        <rFont val="Calibri"/>
        <family val="2"/>
        <charset val="1"/>
      </rPr>
      <t>) i samo obavezni dodatni obrasci u Wordu (format DOC, DOCX ili PDF).</t>
    </r>
  </si>
  <si>
    <t>Štampanje obrazaca</t>
  </si>
  <si>
    <t>Nakon provedene kontrole i elektronske predaje, štampati priređene obrasce.</t>
  </si>
  <si>
    <r>
      <rPr>
        <b/>
        <sz val="11"/>
        <rFont val="Calibri"/>
        <family val="2"/>
      </rPr>
      <t>Redovni, vanredni, konsolidovani, stečaj, likvidacioni, statusne promjene</t>
    </r>
    <r>
      <rPr>
        <sz val="11"/>
        <rFont val="Calibri"/>
        <family val="2"/>
      </rPr>
      <t xml:space="preserve"> – i njihove izmijenjene verzije: štampati sve obavezne obrasce.</t>
    </r>
  </si>
  <si>
    <r>
      <rPr>
        <b/>
        <sz val="11"/>
        <color rgb="FF000000"/>
        <rFont val="Calibri"/>
        <family val="2"/>
      </rPr>
      <t>Izjava o neaktivnosti</t>
    </r>
    <r>
      <rPr>
        <sz val="11"/>
        <color rgb="FF000000"/>
        <rFont val="Calibri"/>
        <family val="2"/>
        <charset val="1"/>
      </rPr>
      <t>: štampati listove OsnPodaci i IzjNeakt.</t>
    </r>
  </si>
  <si>
    <r>
      <rPr>
        <b/>
        <sz val="11"/>
        <color rgb="FF000000"/>
        <rFont val="Calibri"/>
        <family val="2"/>
      </rPr>
      <t>Revizorski izvještaji</t>
    </r>
    <r>
      <rPr>
        <sz val="11"/>
        <color rgb="FF000000"/>
        <rFont val="Calibri"/>
        <family val="2"/>
        <charset val="1"/>
      </rPr>
      <t>: štampati samo osnovne podatke.</t>
    </r>
  </si>
  <si>
    <t>INVESTICIJSKI FONDOVI</t>
  </si>
  <si>
    <t>Jedinstveni identifikacioni broj (JIB) fonda</t>
  </si>
  <si>
    <t>Naziv investicionog fonda</t>
  </si>
  <si>
    <t>4200191740002</t>
  </si>
  <si>
    <t>ZIF " prevent INVEST " d.d.</t>
  </si>
  <si>
    <t>Datum registracije fonda</t>
  </si>
  <si>
    <t>Sjedište fonda</t>
  </si>
  <si>
    <t>Šifra opštine ili grada</t>
  </si>
  <si>
    <t>OVJERAVA FIA</t>
  </si>
  <si>
    <t>Datum    Potpis referenta    Pečat</t>
  </si>
  <si>
    <t>Bulevar Meše Selimovića 16</t>
  </si>
  <si>
    <t>PDV obveznik</t>
  </si>
  <si>
    <t>DA</t>
  </si>
  <si>
    <t>Broj transakcionog računa</t>
  </si>
  <si>
    <t>PODACI O DRUŠTVU ZA UPRAVLJANJE FONDOM</t>
  </si>
  <si>
    <t>ZAKONSKI ZASTUPNIK DRUŠTVA ZA UPRAVLJANJE</t>
  </si>
  <si>
    <t>Ime</t>
  </si>
  <si>
    <t>Prezime</t>
  </si>
  <si>
    <t>Pozicija</t>
  </si>
  <si>
    <t>Pol</t>
  </si>
  <si>
    <t>E-mail adresa pravnog lica</t>
  </si>
  <si>
    <t>Telefon pravnog lica</t>
  </si>
  <si>
    <t>033/407-172</t>
  </si>
  <si>
    <t>VLASNIČKA STRUKTURA</t>
  </si>
  <si>
    <t>Naziv suvlasnika</t>
  </si>
  <si>
    <t>Procenat vlasništva</t>
  </si>
  <si>
    <t>1. Bosna i Hercegovina</t>
  </si>
  <si>
    <t>2. Federacija BiH</t>
  </si>
  <si>
    <t>3. Kanton</t>
  </si>
  <si>
    <t>4. Grad</t>
  </si>
  <si>
    <t>5. Opština 1</t>
  </si>
  <si>
    <t>6. Opština 2</t>
  </si>
  <si>
    <t>7. Opština 3</t>
  </si>
  <si>
    <t>8. Drugo pravno lice u državnom vlasništvu</t>
  </si>
  <si>
    <t>9. Privatno vlasništvo</t>
  </si>
  <si>
    <t>Ukupno</t>
  </si>
  <si>
    <t>PODACI O FINANSIJSKOM IZVJEŠTAJU</t>
  </si>
  <si>
    <t>Interval izvještavanja - Datum od</t>
  </si>
  <si>
    <t>Interval izvještavanja - Datum do</t>
  </si>
  <si>
    <t>Datum sastavljanja izvještaja</t>
  </si>
  <si>
    <t>Izvještaj priprema</t>
  </si>
  <si>
    <t>HADŽIALIĆ (AHMET) AZIRA; licenca br. 4263/5</t>
  </si>
  <si>
    <t>E-mail adresa</t>
  </si>
  <si>
    <t>Kontakt-telefon</t>
  </si>
  <si>
    <t xml:space="preserve"> Ovaj obrazac se obavezno popunjava i štampa kod pripreme svih tipova finansijskih izvještaja, kao i izjave o neaktivnosti. Ovjera nije potrebna. </t>
  </si>
  <si>
    <t>Naziv investicijskog fonda</t>
  </si>
  <si>
    <t>Identifikacioni broj za direktne poreze</t>
  </si>
  <si>
    <t>Sjedište i adresa investicijskog fonda</t>
  </si>
  <si>
    <t>Matični broj i JIB društva za upravljanje</t>
  </si>
  <si>
    <t>Identifikacioni broj za indirektne poreze</t>
  </si>
  <si>
    <t>IZVJEŠTAJ O FINANSIJSKOM POLOŽAJU NA KRAJU PERIODA</t>
  </si>
  <si>
    <t>(BILANS STANJA)</t>
  </si>
  <si>
    <t xml:space="preserve"> - u KM - </t>
  </si>
  <si>
    <t>Redni broj</t>
  </si>
  <si>
    <t>Bilješka</t>
  </si>
  <si>
    <t>Oznaka za AOP</t>
  </si>
  <si>
    <t>Iznos tekuće godine</t>
  </si>
  <si>
    <t>Iznos prethodne godine 
(početno stanje)</t>
  </si>
  <si>
    <t>IMOVINA</t>
  </si>
  <si>
    <t>1.</t>
  </si>
  <si>
    <t>Gotovina i gotovinski ekvivalenti</t>
  </si>
  <si>
    <t>2.</t>
  </si>
  <si>
    <t>Finansijska imovina po fer vrijednosti kroz bilans uspjeha (003+004)</t>
  </si>
  <si>
    <t>002</t>
  </si>
  <si>
    <t>2.1.</t>
  </si>
  <si>
    <t>Ulaganja u instrumente kapitala</t>
  </si>
  <si>
    <t>2.2.</t>
  </si>
  <si>
    <t>Ulaganja u dužničke instrumente</t>
  </si>
  <si>
    <t>004</t>
  </si>
  <si>
    <t>3.</t>
  </si>
  <si>
    <t>Finansijska imovina po fer vrijednosti kroz ostali ukupni rezultat (006+007)</t>
  </si>
  <si>
    <t>005</t>
  </si>
  <si>
    <t>3.1.</t>
  </si>
  <si>
    <t>006</t>
  </si>
  <si>
    <t>3.2.</t>
  </si>
  <si>
    <t>007</t>
  </si>
  <si>
    <t>4.</t>
  </si>
  <si>
    <t>Finansijska imovina po amortizovanom trošku (009 do 013)</t>
  </si>
  <si>
    <t>4.1.</t>
  </si>
  <si>
    <t>Potraživanja iz poslovanja</t>
  </si>
  <si>
    <t>009</t>
  </si>
  <si>
    <t>4.2.</t>
  </si>
  <si>
    <t>Obveznice</t>
  </si>
  <si>
    <t>010</t>
  </si>
  <si>
    <t>4.3.</t>
  </si>
  <si>
    <t xml:space="preserve">Depoziti </t>
  </si>
  <si>
    <t>4.4.</t>
  </si>
  <si>
    <t>Obračunati, nefakturisani prihodi (ugovorna imovina)</t>
  </si>
  <si>
    <t>4.5.</t>
  </si>
  <si>
    <t>Ostala finansijska imovina po amortizovanom trošku</t>
  </si>
  <si>
    <t>5.</t>
  </si>
  <si>
    <t>Ulaganja u nekretnine</t>
  </si>
  <si>
    <t>014</t>
  </si>
  <si>
    <t>6.</t>
  </si>
  <si>
    <t>Akontacije poreza na dobit</t>
  </si>
  <si>
    <t>015</t>
  </si>
  <si>
    <t>7.</t>
  </si>
  <si>
    <t>Odgođena porezna imovina</t>
  </si>
  <si>
    <t>8.</t>
  </si>
  <si>
    <t>Ostala imovina i potraživanja, uključujući i razgraničenja (018 do 021)</t>
  </si>
  <si>
    <t>8.1</t>
  </si>
  <si>
    <t>Potraživanja po osnovu dividendi</t>
  </si>
  <si>
    <t>8.2.</t>
  </si>
  <si>
    <t>Potraživanja od društva za upravljanje</t>
  </si>
  <si>
    <t>str. 1 od 3</t>
  </si>
  <si>
    <t>8.3.</t>
  </si>
  <si>
    <t>Razgraničenja</t>
  </si>
  <si>
    <t>020</t>
  </si>
  <si>
    <t>8.4.</t>
  </si>
  <si>
    <t>Ostala imovina i potraživanja</t>
  </si>
  <si>
    <t>A.</t>
  </si>
  <si>
    <t>UKUPNO IMOVINA (001+002+005+008+014+015+016+017)</t>
  </si>
  <si>
    <t>022</t>
  </si>
  <si>
    <t>OBAVEZE</t>
  </si>
  <si>
    <t>Finansijske obaveze po fer vrijednosti kroz bilans uspjeha</t>
  </si>
  <si>
    <t>Finansijske obaveze po amortizovanom trošku (025+026)</t>
  </si>
  <si>
    <t>024</t>
  </si>
  <si>
    <t>Obaveze iz poslovanja</t>
  </si>
  <si>
    <t>Ostale finansijske obaveze po amortizovanom trošku</t>
  </si>
  <si>
    <t>Obaveze za tekući porez na dobit</t>
  </si>
  <si>
    <t>Odgođene porezne obaveze</t>
  </si>
  <si>
    <t>Rezervisanja</t>
  </si>
  <si>
    <t>029</t>
  </si>
  <si>
    <t>Ostale obaveze, uključujući i razgraničenja (031 do 035)</t>
  </si>
  <si>
    <t>6.1.</t>
  </si>
  <si>
    <t>Obaveze za dividende</t>
  </si>
  <si>
    <t>031</t>
  </si>
  <si>
    <t>6.2.</t>
  </si>
  <si>
    <t>Obaveze prema društvu za upravljanje</t>
  </si>
  <si>
    <t>6.3.</t>
  </si>
  <si>
    <t>Obaveze prema banci depozitaru</t>
  </si>
  <si>
    <t>6.4.</t>
  </si>
  <si>
    <t>6.5.</t>
  </si>
  <si>
    <t>Ostale obaveze</t>
  </si>
  <si>
    <t>B</t>
  </si>
  <si>
    <t>UKUPNO OBAVEZE (023+024+027+028+029+030)</t>
  </si>
  <si>
    <t>NETO IMOVINA</t>
  </si>
  <si>
    <t>Vlasnički kapital (038+039)</t>
  </si>
  <si>
    <t>1.1.</t>
  </si>
  <si>
    <t>Dionički kapital</t>
  </si>
  <si>
    <t>1.2.</t>
  </si>
  <si>
    <t>Udjeli</t>
  </si>
  <si>
    <t>039</t>
  </si>
  <si>
    <t>Dionička premija</t>
  </si>
  <si>
    <t>Rezerve (042+043)</t>
  </si>
  <si>
    <t>Statutarne rezerve</t>
  </si>
  <si>
    <t>Ostale rezerve</t>
  </si>
  <si>
    <t>Revalorizacione rezerve (045 do 047)</t>
  </si>
  <si>
    <t>Revalorizacione rezerve za finansijsku imovinu mjerenu po fer vrijednosti kroz ostali ukupni rezultat</t>
  </si>
  <si>
    <t>045</t>
  </si>
  <si>
    <t>Revalorizacione rezerve za instrumente zaštite</t>
  </si>
  <si>
    <t>Ostale revalorizacione rezerve</t>
  </si>
  <si>
    <t>Dobit (049+050)</t>
  </si>
  <si>
    <t>5.1.</t>
  </si>
  <si>
    <t>Akumulirana, neraspoređena dobit iz prethodnih perioda</t>
  </si>
  <si>
    <t>5.2.</t>
  </si>
  <si>
    <t>Dobit tekućeg perioda</t>
  </si>
  <si>
    <t>Gubitak (052+053)</t>
  </si>
  <si>
    <t>Akumulirani, nepokriveni gubici iz prethodnih perioda</t>
  </si>
  <si>
    <t>Gubitak tekućeg perioda</t>
  </si>
  <si>
    <t>053</t>
  </si>
  <si>
    <t>str. 2 od 3</t>
  </si>
  <si>
    <t>C</t>
  </si>
  <si>
    <t>UKUPNO NETO IMOVINA (037+040+041+044+048-051)</t>
  </si>
  <si>
    <t>D</t>
  </si>
  <si>
    <t>BROJ EMITOVANIH DIONICA/UDJELA</t>
  </si>
  <si>
    <t>E</t>
  </si>
  <si>
    <t>NETO IMOVINA PO DIONICI/UDJELU (054/055)</t>
  </si>
  <si>
    <t>F</t>
  </si>
  <si>
    <t xml:space="preserve">VANBILANSNA EVIDENCIJA </t>
  </si>
  <si>
    <t>Vanbilansna aktiva</t>
  </si>
  <si>
    <t>058</t>
  </si>
  <si>
    <t>Vanbilansna pasiva</t>
  </si>
  <si>
    <t>Mjesto i datum</t>
  </si>
  <si>
    <t>Certificirani računovođa</t>
  </si>
  <si>
    <t>Zakonski zastupnik 
društva za upravljanje</t>
  </si>
  <si>
    <t>Broj licence</t>
  </si>
  <si>
    <t>M.P.</t>
  </si>
  <si>
    <t>str. 3 od 3</t>
  </si>
  <si>
    <t>IZVJEŠTAJ O UKUPNOM REZULTATU ZA PERIOD</t>
  </si>
  <si>
    <t>(BILANS USPJEHA)</t>
  </si>
  <si>
    <t>BILANS USPJEHA</t>
  </si>
  <si>
    <t>Prihodi (202+206+207+212+216+217)</t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</si>
  <si>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</si>
  <si>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</si>
  <si>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</si>
  <si>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</si>
  <si>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</si>
  <si>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</si>
  <si>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</si>
  <si>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</si>
  <si>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</si>
  <si>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</si>
  <si>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</si>
  <si>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</si>
  <si>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</si>
  <si>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</si>
  <si>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</si>
  <si>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</si>
  <si>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</si>
  <si>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</si>
  <si>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</si>
  <si>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t>B.</t>
  </si>
  <si>
    <r>
      <t>Rashodi</t>
    </r>
    <r>
      <rPr>
        <sz val="10"/>
        <rFont val="Cambria"/>
        <family val="1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</si>
  <si>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</si>
  <si>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</si>
  <si>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</si>
  <si>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</si>
  <si>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</si>
  <si>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</si>
  <si>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</si>
  <si>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</si>
  <si>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</si>
  <si>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</si>
  <si>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</si>
  <si>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</si>
  <si>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</si>
  <si>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</si>
  <si>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</si>
  <si>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</si>
  <si>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8.1.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</si>
  <si>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</si>
  <si>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</si>
  <si>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</si>
  <si>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</si>
  <si>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</si>
  <si>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</si>
  <si>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</si>
  <si>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</si>
  <si>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</si>
  <si>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</si>
  <si>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Cambria"/>
        <family val="1"/>
      </rPr>
      <t>(201-218)</t>
    </r>
  </si>
  <si>
    <t>D.</t>
  </si>
  <si>
    <r>
      <t>Gubitak prije oporezivanja</t>
    </r>
    <r>
      <rPr>
        <sz val="10"/>
        <color theme="1"/>
        <rFont val="Cambria"/>
        <family val="1"/>
      </rPr>
      <t xml:space="preserve"> (218-201)</t>
    </r>
  </si>
  <si>
    <t>E.</t>
  </si>
  <si>
    <r>
      <t xml:space="preserve">Porez na dobit </t>
    </r>
    <r>
      <rPr>
        <sz val="10"/>
        <color theme="1"/>
        <rFont val="Cambria"/>
        <family val="1"/>
      </rPr>
      <t>(240+241)</t>
    </r>
  </si>
  <si>
    <t>Tekući porez na dobit</t>
  </si>
  <si>
    <t xml:space="preserve">Odgođeni porez na dobit </t>
  </si>
  <si>
    <t>F.</t>
  </si>
  <si>
    <r>
      <t xml:space="preserve">Dobit </t>
    </r>
    <r>
      <rPr>
        <sz val="10"/>
        <color theme="1"/>
        <rFont val="Cambria"/>
        <family val="1"/>
      </rPr>
      <t>(237-239)</t>
    </r>
  </si>
  <si>
    <t>G.</t>
  </si>
  <si>
    <r>
      <t xml:space="preserve">Gubitak </t>
    </r>
    <r>
      <rPr>
        <sz val="10"/>
        <color theme="1"/>
        <rFont val="Cambria"/>
        <family val="1"/>
      </rPr>
      <t>(238+239)</t>
    </r>
  </si>
  <si>
    <t>IZVJEŠTAJ O OSTALOM UKUPNOM REZULTATU</t>
  </si>
  <si>
    <t>H.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</si>
  <si>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(245+250) </t>
    </r>
  </si>
  <si>
    <t>Stavke koje mogu biti reklasifikovane u bilans uspjeha (246+247+248-249)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</si>
  <si>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</si>
  <si>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</si>
  <si>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</si>
  <si>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</si>
  <si>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</si>
  <si>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</si>
  <si>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</si>
  <si>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</si>
  <si>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</si>
  <si>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</si>
  <si>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</si>
  <si>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Cambria"/>
        <family val="1"/>
      </rPr>
      <t xml:space="preserve"> (242 ili 243 </t>
    </r>
    <r>
      <rPr>
        <u/>
        <sz val="10"/>
        <rFont val="Cambria"/>
        <family val="1"/>
      </rPr>
      <t>+</t>
    </r>
    <r>
      <rPr>
        <sz val="10"/>
        <rFont val="Cambria"/>
        <family val="1"/>
      </rPr>
      <t xml:space="preserve"> 244)</t>
    </r>
  </si>
  <si>
    <t>J.</t>
  </si>
  <si>
    <r>
      <t>Smanjenje neto imovine fonda</t>
    </r>
    <r>
      <rPr>
        <sz val="10"/>
        <rFont val="Cambria"/>
        <family val="1"/>
      </rPr>
      <t xml:space="preserve"> (242 ili 243 </t>
    </r>
    <r>
      <rPr>
        <u/>
        <sz val="10"/>
        <rFont val="Cambria"/>
        <family val="1"/>
      </rPr>
      <t>+</t>
    </r>
    <r>
      <rPr>
        <sz val="10"/>
        <rFont val="Cambria"/>
        <family val="1"/>
      </rPr>
      <t xml:space="preserve"> 244)</t>
    </r>
  </si>
  <si>
    <t>K.</t>
  </si>
  <si>
    <t>Zarada po dionici</t>
  </si>
  <si>
    <t>a) Osnovna zarada po dionici</t>
  </si>
  <si>
    <t>b) Razrijeđena zarada po dionici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</si>
  <si>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</si>
  <si>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</si>
  <si>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</si>
  <si>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</si>
  <si>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</si>
  <si>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</si>
  <si>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</si>
  <si>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</si>
  <si>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</si>
  <si>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</si>
  <si>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</si>
  <si>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</si>
  <si>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</si>
  <si>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</si>
  <si>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</si>
  <si>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</si>
  <si>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</si>
  <si>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</si>
  <si>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</si>
  <si>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</si>
  <si>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</si>
  <si>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</si>
  <si>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</si>
  <si>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</si>
  <si>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</si>
  <si>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</si>
  <si>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</si>
  <si>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</si>
  <si>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</si>
  <si>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str. 1 od 2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</si>
  <si>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</si>
  <si>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</si>
  <si>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</si>
  <si>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</si>
  <si>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</si>
  <si>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</si>
  <si>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</si>
  <si>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</si>
  <si>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</si>
  <si>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</si>
  <si>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</si>
  <si>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</si>
  <si>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 xml:space="preserve">Neto gotovinski tok koji je generisan/(korišten) u poslovnim aktivnostima
</t>
    </r>
    <r>
      <rPr>
        <sz val="10"/>
        <rFont val="Cambria"/>
        <family val="1"/>
      </rPr>
      <t>(401+402+403+404+405+406+407+408+409+410+411+412+413+414+415+416+417+418+419)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</si>
  <si>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</si>
  <si>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</si>
  <si>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</si>
  <si>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</si>
  <si>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</si>
  <si>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</si>
  <si>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</si>
  <si>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</si>
  <si>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</si>
  <si>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</si>
  <si>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</si>
  <si>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t xml:space="preserve">Neto gotovinski tok koji je generisan/(korišten) u finansijskim aktivnostima </t>
    </r>
    <r>
      <rPr>
        <sz val="10"/>
        <rFont val="Cambria"/>
        <family val="1"/>
      </rPr>
      <t>(421+422+423+424+425+426)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</si>
  <si>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</si>
  <si>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</si>
  <si>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</si>
  <si>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</si>
  <si>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>str. 2 od 2</t>
  </si>
  <si>
    <t>Sjedište i adresa investicionog fonda</t>
  </si>
  <si>
    <t>Šifra djelatnosti po KD BiH 2010</t>
  </si>
  <si>
    <t>IZVJEŠTAJ O PROMJENAMA NETO IMOVINE INVESTICIONOG FONDA</t>
  </si>
  <si>
    <t>AOP</t>
  </si>
  <si>
    <t>Tekuća godina</t>
  </si>
  <si>
    <t>Prethodna godina</t>
  </si>
  <si>
    <t xml:space="preserve"> Stanje na dan 31.12. prethodnog obračunskog perioda</t>
  </si>
  <si>
    <t>Efekti retroaktivne primjene promjene računovodstvenih politika</t>
  </si>
  <si>
    <t>Efekti retroaktivnog prepravljanja iznosa priznatih u skladu sa MRS 8</t>
  </si>
  <si>
    <t>Ponovo iskazano stanje na dan 01.01. tekućeg obračunskog perioda (301+302+303)</t>
  </si>
  <si>
    <t>Dobit/(gubitak) za period</t>
  </si>
  <si>
    <t>Ostali ukupni rezultat za period</t>
  </si>
  <si>
    <t>Ukupni rezultat (305+306)</t>
  </si>
  <si>
    <t xml:space="preserve">Povećanje po osnovu izdatih udjela/dionica </t>
  </si>
  <si>
    <t xml:space="preserve">Smanjenje po osnovu povlačenja udjela/dionica </t>
  </si>
  <si>
    <t xml:space="preserve">Ostale promjene </t>
  </si>
  <si>
    <t>Stanje na dan 31.12. tekućeg obračunskog perioda (304+307+308-309+310)</t>
  </si>
  <si>
    <t>Broj udjela/dionica fonda u periodu</t>
  </si>
  <si>
    <t>12.</t>
  </si>
  <si>
    <t>Broj udjela/dionica fonda na početku perioda</t>
  </si>
  <si>
    <t>13.</t>
  </si>
  <si>
    <t>Izdati udjeli/dionice u toku perioda</t>
  </si>
  <si>
    <t>14.</t>
  </si>
  <si>
    <t>Povučeni udjeli/dionice u toku perioda</t>
  </si>
  <si>
    <t>15.</t>
  </si>
  <si>
    <t>Broj udjela/dionica fonda na kraju perioda</t>
  </si>
  <si>
    <t>Certifikovani računovođa</t>
  </si>
  <si>
    <t>str. 1 od 1</t>
  </si>
  <si>
    <t>Sjedište i adresa pravnog lica</t>
  </si>
  <si>
    <t>POSEBNI PODACI O PLAĆAMA I BROJU ZAPOSLENIH</t>
  </si>
  <si>
    <t>uz godišnji obračun</t>
  </si>
  <si>
    <t xml:space="preserve"> - u KM -</t>
  </si>
  <si>
    <t>Redni          broj</t>
  </si>
  <si>
    <t>POZICIJA</t>
  </si>
  <si>
    <t>I Z N O S</t>
  </si>
  <si>
    <t>U istom obračunskom periodu prethodne godine</t>
  </si>
  <si>
    <t>U obračunskom periodu tekuće godine</t>
  </si>
  <si>
    <t>Neto plaće</t>
  </si>
  <si>
    <t>Neto naknade plaća</t>
  </si>
  <si>
    <t>Svega plaće i naknade (1+2)</t>
  </si>
  <si>
    <t>Porez na plaće i naknade plaća</t>
  </si>
  <si>
    <t>Doprinosi iz plaća i naknada plaća</t>
  </si>
  <si>
    <t>Doprinosi na plaće i naknade plaća</t>
  </si>
  <si>
    <t>Svega doprinosi (5+6)</t>
  </si>
  <si>
    <t>Svega (3+4+7)</t>
  </si>
  <si>
    <t>Neto učešća zaposlenih u dobiti</t>
  </si>
  <si>
    <t xml:space="preserve">Porezi na učešće zaposlenih u dobiti </t>
  </si>
  <si>
    <t>Doprinosi iz učešća zaposlenih u dobiti</t>
  </si>
  <si>
    <t>Doprinosi na učešće zaposlenih u dobiti</t>
  </si>
  <si>
    <t>Svega (9 do 12)</t>
  </si>
  <si>
    <t>Svega neto plaće, naknade plaća i učešća u dobiti (3+9)</t>
  </si>
  <si>
    <t>Prosječan broj zaposlenih na osnovu sati rada (cijeli broj)</t>
  </si>
  <si>
    <t>Kontakt</t>
  </si>
  <si>
    <t>BOSNA I HERCEGOVINA</t>
  </si>
  <si>
    <t>Obrazac  INV-01</t>
  </si>
  <si>
    <t>FEDERACIJA BOSNE I HERCEGOVINE</t>
  </si>
  <si>
    <t>Zakon o statistici u Federaciji BiH</t>
  </si>
  <si>
    <t>FEDERALNI ZAVOD ZA STATISTIKU</t>
  </si>
  <si>
    <t>"Službene novine FBiH" br. 63/03 i 9/09</t>
  </si>
  <si>
    <t>SARAJEVO</t>
  </si>
  <si>
    <t>Obaveza podnošenja izvještaja zasniva se na članu 31. Zakona o statistici u Federaciji BiH. Odbijanje davanja podataka, davanje nepotpunih i netačnih podataka ili nedavanje podataka u propisanom sadržaju i roku povlači kaznene odredbe iz čl. 43. i 44. navedenog Zakona. Podaci koji se daju u ovom izvještaju koristiće se isključivo za statističke svrhe i neće se objavljivati kao pojedinačni. Upotreba, povjerljivost i zaštita podataka utvrđena je članovima od 36. do 42. Zakona о statistici u Federaciji BiH i primjenjivat će se prilikom statističke obrade predmetnih podataka.</t>
  </si>
  <si>
    <t>1) Naziv poslovnog subjekta</t>
  </si>
  <si>
    <t>2) Identifikacioni broj poslovnog subjekta</t>
  </si>
  <si>
    <t>3) Kanton</t>
  </si>
  <si>
    <t>Općina</t>
  </si>
  <si>
    <t xml:space="preserve">   Ulica i broj</t>
  </si>
  <si>
    <t>Telefon</t>
  </si>
  <si>
    <t>4) Djelatnost prema KD BiH 2010</t>
  </si>
  <si>
    <t>1)</t>
  </si>
  <si>
    <t>2)</t>
  </si>
  <si>
    <t>(bez kupovine zemljišta, vrijednosti patenata, licenci, robnih marki i dragocjenosti)</t>
  </si>
  <si>
    <t>Iznos u KM</t>
  </si>
  <si>
    <t>(1 = 1.1+1.2+1.3+1.4+1.5+1.6)</t>
  </si>
  <si>
    <t>1.1</t>
  </si>
  <si>
    <t>iz sopstvenih sredstava</t>
  </si>
  <si>
    <t>3)</t>
  </si>
  <si>
    <t>1.2</t>
  </si>
  <si>
    <t>iz udruženih sredstava</t>
  </si>
  <si>
    <t>(1.21+1.22)</t>
  </si>
  <si>
    <t>1.21</t>
  </si>
  <si>
    <t>domaćih investitora</t>
  </si>
  <si>
    <t>1.22</t>
  </si>
  <si>
    <t>inostranih investitora</t>
  </si>
  <si>
    <t>1.3</t>
  </si>
  <si>
    <t>iskorišteni finansijski krediti</t>
  </si>
  <si>
    <t>4)</t>
  </si>
  <si>
    <t>(1.31+1.32+1.33)</t>
  </si>
  <si>
    <t>1.31</t>
  </si>
  <si>
    <t>domaćih banaka</t>
  </si>
  <si>
    <t>1.32</t>
  </si>
  <si>
    <t>stranih kreditora</t>
  </si>
  <si>
    <t>1.33</t>
  </si>
  <si>
    <t>drugih domaćih kreditora, osim banaka</t>
  </si>
  <si>
    <t>1.4</t>
  </si>
  <si>
    <t>finansijski najam - lizing</t>
  </si>
  <si>
    <t>5)</t>
  </si>
  <si>
    <t>1.5</t>
  </si>
  <si>
    <t>iz sredstava budžeta, vanbudžetskih fondova i drugih fondova</t>
  </si>
  <si>
    <t>1.6</t>
  </si>
  <si>
    <t xml:space="preserve">iz drugih izvora (interna realizacija, stalna imovina dobijena bez naknade, </t>
  </si>
  <si>
    <t>putem kompenzacije, donacije, humanitarne pomoći)</t>
  </si>
  <si>
    <t>1.61</t>
  </si>
  <si>
    <t>od toga: strana humanitarna pomoć i donacije</t>
  </si>
  <si>
    <t>1) Obuhvatiti samo izvršene isplate u toku godine (bez prenesenog salda, storna i preknjižavanja, i ne uključujući ostvarene a neplaćene investicije).</t>
  </si>
  <si>
    <t xml:space="preserve">    U isplate za investicije uključuju se kursne razlike koje su plaćene u izvještajnoj godini za investicije ostvarene u toj godini i ranije.</t>
  </si>
  <si>
    <t>2) U isplate za investicije uključiti i otplate komercijalnih kredita.</t>
  </si>
  <si>
    <t>3) Bez kredita datih radnicima za izgradnju i kupovinu stanova u ličnoj svojini.</t>
  </si>
  <si>
    <t>4) Bez otplate anuiteta po finansijskim kreditima.</t>
  </si>
  <si>
    <t>5) Ako ste kupili stalno sredstvo u izvještajnoj godini putem finansijskog lizinga, u tabeli 1. prikažite cjelokupnu nabavnu vrijednost pod 1.4.</t>
  </si>
  <si>
    <t>2.1</t>
  </si>
  <si>
    <t>(2.11+2.12) = Tabela 1., Redni broj 1.</t>
  </si>
  <si>
    <t>2.11</t>
  </si>
  <si>
    <t>6)</t>
  </si>
  <si>
    <t>2.12</t>
  </si>
  <si>
    <t>2.2</t>
  </si>
  <si>
    <t>2.3</t>
  </si>
  <si>
    <t>6) Uključiti cjelokupnu nabavnu vrijednost stalnog sredstva nabavljenog putem finansijskog lizinga.</t>
  </si>
  <si>
    <t xml:space="preserve">Federalni zavod za statistiku, Zelenih beretki 26 Sarajevo; tel. 033 20 64 52, faks 033 22 61 51, e-mail: fedstat@fzs.ba; www.fzs.ba </t>
  </si>
  <si>
    <t>str.1 od 3</t>
  </si>
  <si>
    <t>- u KM -</t>
  </si>
  <si>
    <t xml:space="preserve">UKUPNO (4+5) </t>
  </si>
  <si>
    <r>
      <t xml:space="preserve">Nova stalna sredstva </t>
    </r>
    <r>
      <rPr>
        <b/>
        <vertAlign val="superscript"/>
        <sz val="11"/>
        <rFont val="Cambria"/>
        <family val="1"/>
      </rPr>
      <t>8)</t>
    </r>
  </si>
  <si>
    <r>
      <t xml:space="preserve">Polovna stalna sredstva </t>
    </r>
    <r>
      <rPr>
        <b/>
        <vertAlign val="superscript"/>
        <sz val="11"/>
        <rFont val="Cambria"/>
        <family val="1"/>
      </rPr>
      <t>9)</t>
    </r>
  </si>
  <si>
    <r>
      <t xml:space="preserve">Dezinvesticija /prodaja </t>
    </r>
    <r>
      <rPr>
        <b/>
        <vertAlign val="superscript"/>
        <sz val="11"/>
        <rFont val="Cambria"/>
        <family val="1"/>
      </rPr>
      <t>10)</t>
    </r>
  </si>
  <si>
    <t>1</t>
  </si>
  <si>
    <r>
      <t xml:space="preserve">Vrijednost ostvarenih investicija u stalna sredstva </t>
    </r>
    <r>
      <rPr>
        <b/>
        <vertAlign val="superscript"/>
        <sz val="12"/>
        <rFont val="Cambria"/>
        <family val="1"/>
      </rPr>
      <t>7)</t>
    </r>
  </si>
  <si>
    <t>3.1</t>
  </si>
  <si>
    <t>Građevinski objekti i prostori (zbir 3.11 + 3.2)</t>
  </si>
  <si>
    <t>3.11</t>
  </si>
  <si>
    <t>Stambene zgrade i prostori za stanovanje (stanovi; studentski, đački i starački domovi; domovi za napuštenu djecu i sl.)</t>
  </si>
  <si>
    <t>3.2</t>
  </si>
  <si>
    <t>Ostali građevinski radovi (3.21 + 3.22 + 3.23)</t>
  </si>
  <si>
    <t>3.21</t>
  </si>
  <si>
    <t>Ostala visokogradnja (industrijske, poljoprivredne i ostale privredne hale i zgrade; silosi; hladnjače; rezervoari; cisterne; magacini; garaže; škole; bolnice; zatvori; administrativne zgrade i sl.)</t>
  </si>
  <si>
    <t>3.22</t>
  </si>
  <si>
    <t>Niskogradnja (željezničke pruge; putevi; mostovi; vijadukti; nadvožnjaci; tuneli; žičare; električni i telefonski vodovi; naftovodi; bazeni; cjevovodi; vodovod i kanalizacija; objekti za kopanje rude, elektrane, hidrocentrale; aerodromske piste; sportska igrališta; parkirališta i sl.)</t>
  </si>
  <si>
    <t>3.23</t>
  </si>
  <si>
    <t>Značajnija poboljšanja zemljišta (izgradnja nasipa, morskih brana, krčenje šuma i kamenitog tla; isušivanje močvara, navodnjavanje i sl.)</t>
  </si>
  <si>
    <t>xxxxxxxxxxxxx</t>
  </si>
  <si>
    <t>3.3</t>
  </si>
  <si>
    <t>Strojevi, oprema i transportna sredstva - domaća i uvozna (zbir 3.31 + 3.32)</t>
  </si>
  <si>
    <t>3.31</t>
  </si>
  <si>
    <t>Strojevi i oprema (zbir 3.311 do 3.319)</t>
  </si>
  <si>
    <t>3.311</t>
  </si>
  <si>
    <t>Metalni proizvodi i naprave (metalne konstrukcije, tornjevi, cisterne, kontejneri, kotlovi i oprema za centralno grijanje, rezervoari, željezni i čelični kotlovi itd.)</t>
  </si>
  <si>
    <t>3.312</t>
  </si>
  <si>
    <t>Strojevi za proizvodnju i iskorištavanje mehaničke energije (motori, turbine, pumpe, kompresori), strojne naprave (podizajuće, transportne, rashladne, za provjetravanje), vage i sl.</t>
  </si>
  <si>
    <t>3.313</t>
  </si>
  <si>
    <t>Drugi strojevi i naprave za posebne namjene (metalurški, rudarski i građevinski strojevi, prehrambeni, tekstilni i sl.); strojevi za obradu (strugovi, bušilice, glodalice; strojevi za  obradu metala, kamena, drveta i sl.)</t>
  </si>
  <si>
    <t>3.314</t>
  </si>
  <si>
    <t>Poljoprivredni i šumarski strojevi (traktori i drugi poljoprivredni i šumarski strojevi)</t>
  </si>
  <si>
    <t>3.315</t>
  </si>
  <si>
    <t>Računari i druga oprema za obradu podataka (personalni i drugi računari, štampači); druge kancelarijske mašine (računske, pisaće, fotokopirni i slični uređaji); elektronske blagajne, skeneri, bankomati, automati za mijenjanje novca</t>
  </si>
  <si>
    <t>3.316</t>
  </si>
  <si>
    <t>Električni motori, generatori i transformatori, naprave za distribuciju el. energije, cestovna i druga vanjska rasvjeta, kotlovi za dobijanje pare, atomski reaktori i sl.</t>
  </si>
  <si>
    <t>3.317</t>
  </si>
  <si>
    <t>Radijski, televizijski i komunikacijski uređaji i oprema (TV i radio prijemnici i odašiljači, telefonski aparati i centrale, faks mašine itd.)</t>
  </si>
  <si>
    <t>3.318</t>
  </si>
  <si>
    <t>Medicinska oprema, fini mehanički i optički instrumenti (osciloskopi, voltmetri, laboratorijske centrifuge, elektrografi, mikroskopi), precizne vage, fotografski aparati itd.</t>
  </si>
  <si>
    <t>3.319</t>
  </si>
  <si>
    <t>Namještaj i unutarnja oprema (metalni i drveni namještaj i sl.); nabavka knjiga za biblioteke</t>
  </si>
  <si>
    <t>3.32</t>
  </si>
  <si>
    <t>Transportna sredstva (zbir 3.321 + 3.322 + 3.323)</t>
  </si>
  <si>
    <t>3.321</t>
  </si>
  <si>
    <t>Putnički automobili do 10 osoba (kao i kombinirani namijenjeni prevozu putnika i tereta)</t>
  </si>
  <si>
    <t>3.322</t>
  </si>
  <si>
    <t>Teretna vozila (takođe cestovni traktori i prikolice)</t>
  </si>
  <si>
    <t>3.323</t>
  </si>
  <si>
    <t>Druga vozila i plovila (autobusi, čamci, tračna i zračna vozila)</t>
  </si>
  <si>
    <t>3.4</t>
  </si>
  <si>
    <t xml:space="preserve">Od 3.3 (Strojevi, oprema i transportna sredstva) prikažite vrijednost uvezene opreme </t>
  </si>
  <si>
    <t>3.5</t>
  </si>
  <si>
    <t>Biološka sredstva (zbir 3.51 + 3.52)</t>
  </si>
  <si>
    <t>3.51</t>
  </si>
  <si>
    <t>Osnovno stado (razna rasplodna i radna stoka)</t>
  </si>
  <si>
    <t>3.52</t>
  </si>
  <si>
    <t>Pošumljavanje i dugogodišnji zasadi</t>
  </si>
  <si>
    <t>3.6</t>
  </si>
  <si>
    <t>Nematerijalna stalna sredstva (zbir 3.61 + 3.62 + 3.63 + 3.64 + 3.65)</t>
  </si>
  <si>
    <t>3.61</t>
  </si>
  <si>
    <t>Dugoročna ulaganja u istraživanje i razvoj, osim rudarskih i mineralnih istraživanja</t>
  </si>
  <si>
    <t>3.62</t>
  </si>
  <si>
    <t>Rudarska i mineralna istraživanja</t>
  </si>
  <si>
    <t>3.63</t>
  </si>
  <si>
    <t>Softveri i baze podataka (zbir od 3.631 do 3.634)</t>
  </si>
  <si>
    <t>3.631</t>
  </si>
  <si>
    <t>Kupljeni softveri (uključujući i licence za softvere)</t>
  </si>
  <si>
    <t>3.632</t>
  </si>
  <si>
    <t>Softveri proizvedeni u vlastitoj režiji</t>
  </si>
  <si>
    <t>3.633</t>
  </si>
  <si>
    <t>Kupljene baze podataka</t>
  </si>
  <si>
    <t>3.634</t>
  </si>
  <si>
    <t>Baze podataka  proizvedene u vlastitoj režiji</t>
  </si>
  <si>
    <t>3.64</t>
  </si>
  <si>
    <t>Književni i umjetnički originali (sa područja filma, muzike, TV programi, sportske i druge priredbe i sl.)</t>
  </si>
  <si>
    <t>3.65</t>
  </si>
  <si>
    <t>Ostala nematerijalna stalna sredstva (studije, projekti, elaborati, komisije za tehnički prijem i sl.)</t>
  </si>
  <si>
    <t>3.7</t>
  </si>
  <si>
    <t>Troškovi prijenosa vlasništva zemljišta (tr. procjene zemljišta, advokata, porez na promet nekretninama)</t>
  </si>
  <si>
    <t>3.8</t>
  </si>
  <si>
    <r>
      <t xml:space="preserve">Dragocjenosti (vrijednosni predmeti kupljeni radi očuvanja vrijednosti kao što su dijamanti, drago kamenje, nemonetarno zlato, slike, skulpture i sl.) </t>
    </r>
    <r>
      <rPr>
        <b/>
        <vertAlign val="superscript"/>
        <sz val="12"/>
        <rFont val="Cambria"/>
        <family val="1"/>
      </rPr>
      <t>7)</t>
    </r>
  </si>
  <si>
    <t>3.9</t>
  </si>
  <si>
    <r>
      <t xml:space="preserve">Licence (osim licenci za softvere), patenti i trgovačke marke </t>
    </r>
    <r>
      <rPr>
        <b/>
        <vertAlign val="superscript"/>
        <sz val="12"/>
        <rFont val="Cambria"/>
        <family val="1"/>
      </rPr>
      <t>7)</t>
    </r>
  </si>
  <si>
    <t>3.10</t>
  </si>
  <si>
    <t>Zemljište (bez troškova prijenosa vlasništva)</t>
  </si>
  <si>
    <t>7) Stalna sredstva se vrednuju po kupovnoj cijeni, uključujući troškove montaže i druge troškove prijenosa vlasništva. Ukoliko ne znate tačnu vrijednost, procijenite je.</t>
  </si>
  <si>
    <t>9) Polovna stalna sredstva obuhvataju polovna stalna sredstva nabavljena u zemlji, bez obzira na njihovo porijeklo (fusnota 8)</t>
  </si>
  <si>
    <t xml:space="preserve">8) Uključiti: nova stalna sredstva, rekonstrukciju i zamjenu postojećih stalnih sredstava, stalna sredstva nabavljena putem finansijskog lizinga - najma, kao i polovnu </t>
  </si>
  <si>
    <t xml:space="preserve">10) Uključiti stalna sredstva koja su prodana, stalna sredstva koja su data u trampi i stalna sredstva data kao kapitalni transfer </t>
  </si>
  <si>
    <t xml:space="preserve">    opremu iz uvoza prvi puta uvezenu, ili ako je nabavljena da bi se koristila po prvi put. U svakoj daljoj preprodaji ova oprema se smatra domaćom polovnom opremom.</t>
  </si>
  <si>
    <t xml:space="preserve">     u naturi. Prodata stalna sredstva iskazati po vrijednosti iz kupoprodajnog ugovora, nakon odbitka troškova prijenosa vlasništva.</t>
  </si>
  <si>
    <t>UKUPNO</t>
  </si>
  <si>
    <t>INVESTICIJE PO NAMJENI ULAGANJA I OPĆINAMA</t>
  </si>
  <si>
    <t>djelatnost:</t>
  </si>
  <si>
    <t>općina:</t>
  </si>
  <si>
    <t>entitet</t>
  </si>
  <si>
    <t>entitet:</t>
  </si>
  <si>
    <t>ukupan broj jedinica</t>
  </si>
  <si>
    <t>redni broj jedinice</t>
  </si>
  <si>
    <t>djelatnost</t>
  </si>
  <si>
    <t>KDBiH 2010</t>
  </si>
  <si>
    <t>01</t>
  </si>
  <si>
    <t>općina</t>
  </si>
  <si>
    <t>4.11</t>
  </si>
  <si>
    <r>
      <t xml:space="preserve">Ostvarene investicije                   u </t>
    </r>
    <r>
      <rPr>
        <b/>
        <sz val="10"/>
        <color theme="1"/>
        <rFont val="Cambria"/>
        <family val="1"/>
      </rPr>
      <t>nova</t>
    </r>
    <r>
      <rPr>
        <sz val="10"/>
        <color theme="1"/>
        <rFont val="Cambria"/>
        <family val="1"/>
      </rPr>
      <t xml:space="preserve"> stalna sredstva</t>
    </r>
  </si>
  <si>
    <t>izgradnja novih kapaciteta</t>
  </si>
  <si>
    <t>02</t>
  </si>
  <si>
    <t>4.12</t>
  </si>
  <si>
    <t>rekonstrukcija, modernizacija, dogradnja i proširenje</t>
  </si>
  <si>
    <t>4.13</t>
  </si>
  <si>
    <t>održavanje nivoa postojećih kapaciteta</t>
  </si>
  <si>
    <t>4.0</t>
  </si>
  <si>
    <r>
      <t xml:space="preserve">Od ukupnih investicija prikazati investicije za zaštitu životne sredine </t>
    </r>
    <r>
      <rPr>
        <b/>
        <vertAlign val="superscript"/>
        <sz val="12"/>
        <rFont val="Cambria"/>
        <family val="1"/>
      </rPr>
      <t>11)</t>
    </r>
  </si>
  <si>
    <t>4.1</t>
  </si>
  <si>
    <t>4.14</t>
  </si>
  <si>
    <t>Ostvarene investicije</t>
  </si>
  <si>
    <t>stambene zgrade i prostori za stanovanje = 3.11</t>
  </si>
  <si>
    <t>4.15</t>
  </si>
  <si>
    <r>
      <t xml:space="preserve">u </t>
    </r>
    <r>
      <rPr>
        <b/>
        <sz val="10"/>
        <rFont val="Cambria"/>
        <family val="1"/>
      </rPr>
      <t>nova</t>
    </r>
  </si>
  <si>
    <t>ostali građevinski radovi = 3.2</t>
  </si>
  <si>
    <t>4.16</t>
  </si>
  <si>
    <t>stalna sredstva</t>
  </si>
  <si>
    <t>strojevi, oprema i transportna sredstva = 3.3</t>
  </si>
  <si>
    <t>4.17</t>
  </si>
  <si>
    <t>biološka sredstva = 3.5</t>
  </si>
  <si>
    <t>4.18</t>
  </si>
  <si>
    <t>po tehničkoj strukturi</t>
  </si>
  <si>
    <t>nematerijalna stalna sredstva = 3.6</t>
  </si>
  <si>
    <t>4.19</t>
  </si>
  <si>
    <t>(Tabela 3., Kolona 4.)</t>
  </si>
  <si>
    <t>troškovi prijenosa vlasništva zemljišta = 3.7</t>
  </si>
  <si>
    <t>4.2</t>
  </si>
  <si>
    <t>4.3</t>
  </si>
  <si>
    <t>11) Od ukupnih investicija raspoređenih po karakteru izgradnje (stavke 4.11, 4.12 i 4.13) treba posebno u stavci 4.0 prikazati investicije za zaštitu životne sredine</t>
  </si>
  <si>
    <t>Obrazac popunio:</t>
  </si>
  <si>
    <t>Tel./faks</t>
  </si>
  <si>
    <t>E-mail</t>
  </si>
  <si>
    <t>Direktor</t>
  </si>
  <si>
    <t>Datum</t>
  </si>
  <si>
    <t>Upisati puno ime i prezime</t>
  </si>
  <si>
    <t>Obrazac "OVN"</t>
  </si>
  <si>
    <t>Naziv pravne/fizičke osobe/lica</t>
  </si>
  <si>
    <t>Identifikacioni broj obveznika naknade</t>
  </si>
  <si>
    <t xml:space="preserve">Šifra djelatnosti </t>
  </si>
  <si>
    <t>Adresa: mjesto, ulica i broj</t>
  </si>
  <si>
    <t>Broj telefona</t>
  </si>
  <si>
    <t>IZVJEŠTAJ O OBRAČUNATIM I UPLAĆENIM VODNIM NAKNADAMA</t>
  </si>
  <si>
    <t>Red.          broj</t>
  </si>
  <si>
    <t>Naziv vodne naknade</t>
  </si>
  <si>
    <t>Jedinica mjere</t>
  </si>
  <si>
    <t>Iznos/Količina</t>
  </si>
  <si>
    <t>Visina opšte i posebnih naknada</t>
  </si>
  <si>
    <t>Obračunati iznos</t>
  </si>
  <si>
    <t>Uplaćeni iznos</t>
  </si>
  <si>
    <t>Razlika za</t>
  </si>
  <si>
    <t>uplatu/povrat</t>
  </si>
  <si>
    <t>/KM/  (4×5)</t>
  </si>
  <si>
    <t>/KM/</t>
  </si>
  <si>
    <t>/KM/ (6-7)</t>
  </si>
  <si>
    <t xml:space="preserve">  Opšta vodna naknada</t>
  </si>
  <si>
    <t>neto plaće zaposlenika</t>
  </si>
  <si>
    <t>KM</t>
  </si>
  <si>
    <t>%</t>
  </si>
  <si>
    <t>po ugovoru o djelu</t>
  </si>
  <si>
    <t>Posebne vodne naknade</t>
  </si>
  <si>
    <t>Naknada za korištenje podzemnih i površinskih voda</t>
  </si>
  <si>
    <t>za javnu vodoopskrbu</t>
  </si>
  <si>
    <r>
      <t>m</t>
    </r>
    <r>
      <rPr>
        <vertAlign val="superscript"/>
        <sz val="16"/>
        <rFont val="Cambria"/>
        <family val="1"/>
      </rPr>
      <t>3</t>
    </r>
  </si>
  <si>
    <t>za flaširanje vode i mineralne vode</t>
  </si>
  <si>
    <t>za industrijske procese, uključujući TE</t>
  </si>
  <si>
    <t>za druge namjene</t>
  </si>
  <si>
    <t>za proizvodnju električne energije u HE</t>
  </si>
  <si>
    <t>kWh</t>
  </si>
  <si>
    <t>Naknada za zaštitu voda</t>
  </si>
  <si>
    <t>za vlasnike transportnih sredstava</t>
  </si>
  <si>
    <t>EBS</t>
  </si>
  <si>
    <t>za ispuštanje otpadnih voda</t>
  </si>
  <si>
    <t>za uzgoj ribe</t>
  </si>
  <si>
    <t>kg</t>
  </si>
  <si>
    <t>za upotrebu vještačkih đubriva</t>
  </si>
  <si>
    <t>za upotrebu hemikalija za zaštitu bilja</t>
  </si>
  <si>
    <t>Naknada za izvađeni materijal iz vodotoka</t>
  </si>
  <si>
    <t>Naknada za zaštitu od poplava</t>
  </si>
  <si>
    <t>poljoprivrednog, građevinskog ili šumskog zemljišta</t>
  </si>
  <si>
    <t>ha</t>
  </si>
  <si>
    <t>stambenih, poslovnih ili drugih objekata</t>
  </si>
  <si>
    <r>
      <t>m</t>
    </r>
    <r>
      <rPr>
        <vertAlign val="superscript"/>
        <sz val="16"/>
        <rFont val="Cambria"/>
        <family val="1"/>
      </rPr>
      <t>2</t>
    </r>
  </si>
  <si>
    <t>Ukupno:</t>
  </si>
  <si>
    <t>OBRAZAC ZS</t>
  </si>
  <si>
    <t>IZVJEŠTAJ</t>
  </si>
  <si>
    <t>o obračunatom i uplaćenom posebnom porezu/naknadi</t>
  </si>
  <si>
    <t>za zaštitu od prirodnih i drugih nesreća</t>
  </si>
  <si>
    <t>Naziv pravne/fizičke osobe/lica, odnosno organa vlasti</t>
  </si>
  <si>
    <t>Mjesto</t>
  </si>
  <si>
    <t>Red.</t>
  </si>
  <si>
    <t>OPIS</t>
  </si>
  <si>
    <t>IZNOS</t>
  </si>
  <si>
    <t>broj</t>
  </si>
  <si>
    <t>Osnovica  - isplaćene neto plaće, odnosno neto isplate po ugovoru o djelu i ugovoru o vršenju privremenih i povremenih poslova</t>
  </si>
  <si>
    <t>Stopa iz tačke 2. Uputstva</t>
  </si>
  <si>
    <t>(osnovica × stopa - red.br. 1 × red.br. 2)</t>
  </si>
  <si>
    <t>Obrazac sastavio/la</t>
  </si>
  <si>
    <t xml:space="preserve"> </t>
  </si>
  <si>
    <t>Finansijsko-informatička agencija</t>
  </si>
  <si>
    <t>Ložionička 3, Sarajevo</t>
  </si>
  <si>
    <t>OBAVIJEST O RAZVRSTAVANJU</t>
  </si>
  <si>
    <t>je prema kriterijumima razvrstavanja iz člana 5. Zakona o računovodstvu i reviziji u Federaciji BiH</t>
  </si>
  <si>
    <t>•   šifra djelatnosti</t>
  </si>
  <si>
    <t>•   prosječna vrijednost poslovne imovine (KM)</t>
  </si>
  <si>
    <t>•   prosječan broj zaposlenih</t>
  </si>
  <si>
    <t>Veličina pravnog lica na osnovu navedenih kriterijuma:</t>
  </si>
  <si>
    <t xml:space="preserve">M.P. </t>
  </si>
  <si>
    <t>IZJAVA O PRIMIJENJENOM STANDARDU FINANSIJSKOG IZVJEŠTAVANJA</t>
  </si>
  <si>
    <t>Naziv pravnog lica:</t>
  </si>
  <si>
    <t>U skladu sa članom 10a. Pravilnika o metodologiji za provođenje formalno-pravne, računske i logičke</t>
  </si>
  <si>
    <t>kontrole finansijskih izvještaja ("Službene novine FBiH", br: 103/18, 93/19 i 76/20), za period</t>
  </si>
  <si>
    <t>izjavljujemo da je navedeno pravno lice pri sačinjavanju finansijskih izvještaja koristilo standard:</t>
  </si>
  <si>
    <t>IZJAVA O NEAKTIVNOSTI</t>
  </si>
  <si>
    <t>U skladu sa čl. 44. stav 8. Zakona o računovodstvu i reviziji u FBiH ("Službene novine FBiH" br. 15/21)</t>
  </si>
  <si>
    <t>pravno lice</t>
  </si>
  <si>
    <t>nije imalo drugih promjena na svom računu, osim uplate obaveznog depozita.</t>
  </si>
  <si>
    <t>NE</t>
  </si>
  <si>
    <t>zjp-031-10</t>
  </si>
  <si>
    <t>1610000031640053</t>
  </si>
  <si>
    <t>4200052540007</t>
  </si>
  <si>
    <t>Dženan</t>
  </si>
  <si>
    <t>Prevljak</t>
  </si>
  <si>
    <t>direktor</t>
  </si>
  <si>
    <t>Muški</t>
  </si>
  <si>
    <t>blago@bih.net.ba</t>
  </si>
  <si>
    <t>azira.hadzialic@blago.ba</t>
  </si>
  <si>
    <t>DUF "Blago" d.o.o.</t>
  </si>
  <si>
    <t>65-01-0034-11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</si>
</sst>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_-* #,##0.00_-;\-* #,##0.00_-;_-* \-??_-;_-@_-"/>
    <numFmt numFmtId="166" formatCode="_(* #,##0.00_);_(* \(#,##0.00\);_(* \-??_);_(@_)"/>
    <numFmt numFmtId="167" formatCode="0.0000"/>
    <numFmt numFmtId="168" formatCode="0.00000000000000000"/>
    <numFmt numFmtId="169" formatCode="d/m/yyyy/"/>
    <numFmt numFmtId="170" formatCode="\00"/>
    <numFmt numFmtId="171" formatCode="_(* #,##0_);_(* \(#,##0\);_(* &quot;-&quot;??_);_(@_)"/>
    <numFmt numFmtId="172" formatCode="#,##0.00_ ;\-#,##0.00\ "/>
    <numFmt numFmtId="173" formatCode="#,##0.000_ ;\-#,##0.000\ "/>
    <numFmt numFmtId="174" formatCode="0.000%"/>
    <numFmt numFmtId="175" formatCode="0.000"/>
    <numFmt numFmtId="176" formatCode="yyyy"/>
    <numFmt numFmtId="177" formatCode="d\.m\.yyyy\."/>
  </numFmts>
  <fonts count="265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u/>
      <sz val="11"/>
      <color rgb="FF0563C1"/>
      <name val="Calibri"/>
      <family val="2"/>
    </font>
    <font>
      <sz val="16"/>
      <name val="Arial Narrow"/>
      <family val="2"/>
    </font>
    <font>
      <sz val="11"/>
      <name val="Calibri"/>
      <family val="2"/>
    </font>
    <font>
      <sz val="26"/>
      <name val="Bar-Code 39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8"/>
      <name val="Arial Narrow"/>
      <family val="2"/>
    </font>
    <font>
      <b/>
      <sz val="20"/>
      <name val="Arial Narrow"/>
      <family val="2"/>
    </font>
    <font>
      <sz val="23"/>
      <name val="Arial Narrow"/>
      <family val="2"/>
    </font>
    <font>
      <sz val="18"/>
      <color rgb="FF808080"/>
      <name val="Arial Narrow"/>
      <family val="2"/>
    </font>
    <font>
      <sz val="16"/>
      <color rgb="FF808080"/>
      <name val="Arial"/>
      <family val="2"/>
    </font>
    <font>
      <sz val="14"/>
      <color rgb="FF808080"/>
      <name val="Arial Narrow"/>
      <family val="2"/>
    </font>
    <font>
      <sz val="18"/>
      <color rgb="FF000000"/>
      <name val="Arial Narrow"/>
      <family val="2"/>
    </font>
    <font>
      <sz val="11"/>
      <color rgb="FF808080"/>
      <name val="Arial Narrow"/>
      <family val="2"/>
    </font>
    <font>
      <sz val="18"/>
      <name val="Arial Narrow"/>
      <family val="2"/>
    </font>
    <font>
      <sz val="15"/>
      <name val="Arial Narrow"/>
      <family val="2"/>
    </font>
    <font>
      <sz val="20"/>
      <name val="Arial Narrow"/>
      <family val="2"/>
    </font>
    <font>
      <sz val="13"/>
      <name val="Arial Narrow"/>
      <family val="2"/>
    </font>
    <font>
      <sz val="13"/>
      <name val="Arial Narrow"/>
      <family val="2"/>
    </font>
    <font>
      <sz val="23"/>
      <name val="Bar-Code 39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22"/>
      <name val="Bar-Code 39"/>
      <family val="3"/>
    </font>
    <font>
      <sz val="12"/>
      <name val="Arial Narrow"/>
      <family val="2"/>
    </font>
    <font>
      <sz val="2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5"/>
      <name val="Arial Narrow"/>
      <family val="2"/>
    </font>
    <font>
      <sz val="23"/>
      <name val="Bar-Code 39"/>
      <family val="3"/>
    </font>
    <font>
      <sz val="14"/>
      <name val="Arial Narrow"/>
      <family val="2"/>
    </font>
    <font>
      <sz val="14"/>
      <color rgb="FF000000"/>
      <name val="Calibri"/>
      <family val="2"/>
    </font>
    <font>
      <sz val="20"/>
      <color rgb="FF000000"/>
      <name val="Calibri"/>
      <family val="2"/>
    </font>
    <font>
      <sz val="17"/>
      <color rgb="FF808080"/>
      <name val="Arial"/>
      <family val="2"/>
    </font>
    <font>
      <sz val="24"/>
      <name val="Arial Narrow"/>
      <family val="2"/>
    </font>
    <font>
      <sz val="24"/>
      <color rgb="FF000000"/>
      <name val="Calibri"/>
      <family val="2"/>
    </font>
    <font>
      <sz val="18"/>
      <name val="Arial"/>
      <family val="2"/>
    </font>
    <font>
      <sz val="20"/>
      <color theme="0" tint="-0.499984740745262"/>
      <name val="Arial"/>
      <family val="2"/>
    </font>
    <font>
      <sz val="18"/>
      <color rgb="FF808080"/>
      <name val="Arial"/>
      <family val="2"/>
    </font>
    <font>
      <sz val="18"/>
      <color rgb="FF000000"/>
      <name val="Arial"/>
      <family val="2"/>
    </font>
    <font>
      <sz val="33"/>
      <name val="Bar-Code 39"/>
      <family val="2"/>
    </font>
    <font>
      <sz val="35"/>
      <name val="Bar-Code 39"/>
      <family val="3"/>
    </font>
    <font>
      <sz val="28"/>
      <name val="Bar-Code 39"/>
      <family val="3"/>
    </font>
    <font>
      <sz val="36"/>
      <name val="Bar-Code 39"/>
      <family val="2"/>
    </font>
    <font>
      <sz val="17"/>
      <color rgb="FF808080"/>
      <name val="Arial"/>
      <family val="2"/>
    </font>
    <font>
      <sz val="17"/>
      <name val="Arial Narrow"/>
      <family val="2"/>
    </font>
    <font>
      <sz val="33"/>
      <name val="Bar-Code 39"/>
      <family val="3"/>
    </font>
    <font>
      <sz val="11"/>
      <color theme="1"/>
      <name val="Arial Narrow"/>
      <family val="2"/>
    </font>
    <font>
      <sz val="9"/>
      <color theme="0" tint="-0.499984740745262"/>
      <name val="Arial Narrow"/>
      <family val="2"/>
    </font>
    <font>
      <sz val="9"/>
      <color theme="0" tint="-0.499984740745262"/>
      <name val="Arial Nova Cond Light"/>
      <family val="2"/>
    </font>
    <font>
      <sz val="9"/>
      <color theme="0" tint="-0.499984740745262"/>
      <name val="Arial"/>
      <family val="2"/>
    </font>
    <font>
      <sz val="8"/>
      <color theme="0" tint="-0.499984740745262"/>
      <name val="Arial Narrow"/>
      <family val="2"/>
    </font>
    <font>
      <sz val="10"/>
      <color theme="0" tint="-0.499984740745262"/>
      <name val="Arial"/>
      <family val="2"/>
    </font>
    <font>
      <sz val="10"/>
      <color rgb="FF000000"/>
      <name val="Calibri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9"/>
      <name val="Bar-Code 39"/>
      <family val="3"/>
    </font>
    <font>
      <sz val="11"/>
      <color theme="1"/>
      <name val="Calibri"/>
      <family val="2"/>
      <scheme val="minor"/>
    </font>
    <font>
      <sz val="13"/>
      <color rgb="FFFF0000"/>
      <name val="Arial Narrow"/>
      <family val="2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7"/>
      <name val="Bar-Code 39"/>
      <family val="3"/>
    </font>
    <font>
      <sz val="14"/>
      <color rgb="FFFF0000"/>
      <name val="Arial Narrow"/>
      <family val="2"/>
    </font>
    <font>
      <sz val="12"/>
      <name val="Arial Narrow"/>
      <family val="2"/>
    </font>
    <font>
      <sz val="20"/>
      <name val="Bar-Code 39"/>
      <family val="3"/>
    </font>
    <font>
      <sz val="14"/>
      <name val="Arial Narrow"/>
      <family val="2"/>
    </font>
    <font>
      <sz val="11"/>
      <color rgb="FFFF0000"/>
      <name val="Calibri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6"/>
      <color rgb="FFFF0000"/>
      <name val="Calibri"/>
      <family val="2"/>
    </font>
    <font>
      <sz val="16"/>
      <name val="Arial Narrow"/>
      <family val="2"/>
    </font>
    <font>
      <sz val="16"/>
      <color rgb="FF000000"/>
      <name val="Calibri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sz val="16"/>
      <color rgb="FFFF0000"/>
      <name val="Arial"/>
      <family val="2"/>
    </font>
    <font>
      <sz val="16"/>
      <color theme="0" tint="-0.499984740745262"/>
      <name val="Arial"/>
      <family val="2"/>
    </font>
    <font>
      <sz val="18"/>
      <color rgb="FFFF0000"/>
      <name val="Arial Narrow"/>
      <family val="2"/>
    </font>
    <font>
      <sz val="18"/>
      <name val="Arial Narrow"/>
      <family val="2"/>
    </font>
    <font>
      <sz val="18"/>
      <color rgb="FFFF0000"/>
      <name val="Calibri"/>
      <family val="2"/>
    </font>
    <font>
      <sz val="18"/>
      <color rgb="FF000000"/>
      <name val="Calibri"/>
      <family val="2"/>
    </font>
    <font>
      <b/>
      <sz val="18"/>
      <name val="Arial Narrow"/>
      <family val="2"/>
    </font>
    <font>
      <sz val="14"/>
      <name val="Arial Narrow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30"/>
      <color rgb="FFFFFFFF"/>
      <name val="Cambria"/>
      <family val="1"/>
    </font>
    <font>
      <sz val="11"/>
      <color rgb="FF000000"/>
      <name val="Cambria"/>
      <family val="1"/>
    </font>
    <font>
      <b/>
      <sz val="20"/>
      <color rgb="FFFFFFFF"/>
      <name val="Cambria"/>
      <family val="1"/>
    </font>
    <font>
      <sz val="16"/>
      <name val="Cambria"/>
      <family val="1"/>
    </font>
    <font>
      <sz val="21"/>
      <color theme="1" tint="0.499984740745262"/>
      <name val="Cambria"/>
      <family val="1"/>
    </font>
    <font>
      <b/>
      <sz val="20"/>
      <name val="Cambria"/>
      <family val="1"/>
    </font>
    <font>
      <b/>
      <sz val="29"/>
      <name val="Cambria"/>
      <family val="1"/>
    </font>
    <font>
      <b/>
      <sz val="30"/>
      <name val="Cambria"/>
      <family val="1"/>
    </font>
    <font>
      <b/>
      <sz val="21"/>
      <name val="Cambria"/>
      <family val="1"/>
    </font>
    <font>
      <sz val="18"/>
      <color theme="1" tint="0.499984740745262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sz val="16"/>
      <color theme="0" tint="-0.499984740745262"/>
      <name val="Cambria"/>
      <family val="1"/>
    </font>
    <font>
      <sz val="21"/>
      <color rgb="FF808080"/>
      <name val="Cambria"/>
      <family val="1"/>
    </font>
    <font>
      <b/>
      <sz val="18"/>
      <color rgb="FF808080"/>
      <name val="Cambria"/>
      <family val="1"/>
    </font>
    <font>
      <sz val="18"/>
      <name val="Cambria"/>
      <family val="1"/>
    </font>
    <font>
      <sz val="18"/>
      <color rgb="FF000000"/>
      <name val="Cambria"/>
      <family val="1"/>
    </font>
    <font>
      <sz val="16"/>
      <color theme="1" tint="0.499984740745262"/>
      <name val="Cambria"/>
      <family val="1"/>
    </font>
    <font>
      <b/>
      <sz val="21"/>
      <color theme="1" tint="0.499984740745262"/>
      <name val="Cambria"/>
      <family val="1"/>
    </font>
    <font>
      <b/>
      <sz val="21"/>
      <color rgb="FF0563C1"/>
      <name val="Cambria"/>
      <family val="1"/>
    </font>
    <font>
      <b/>
      <sz val="16"/>
      <color rgb="FF808080"/>
      <name val="Cambria"/>
      <family val="1"/>
    </font>
    <font>
      <sz val="11"/>
      <name val="Cambria"/>
      <family val="1"/>
    </font>
    <font>
      <sz val="18"/>
      <color rgb="FF808080"/>
      <name val="Cambria"/>
      <family val="1"/>
    </font>
    <font>
      <sz val="16"/>
      <color rgb="FF808080"/>
      <name val="Cambria"/>
      <family val="1"/>
    </font>
    <font>
      <sz val="24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b/>
      <sz val="13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17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3"/>
      <name val="Cambria"/>
      <family val="1"/>
    </font>
    <font>
      <b/>
      <sz val="24"/>
      <name val="Cambria"/>
      <family val="1"/>
    </font>
    <font>
      <sz val="24"/>
      <color theme="0" tint="-0.34998626667073579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4"/>
      <color rgb="FF000000"/>
      <name val="Cambria"/>
      <family val="1"/>
    </font>
    <font>
      <sz val="20"/>
      <color rgb="FF808080"/>
      <name val="Cambria"/>
      <family val="1"/>
    </font>
    <font>
      <b/>
      <sz val="20"/>
      <color rgb="FF808080"/>
      <name val="Cambria"/>
      <family val="1"/>
    </font>
    <font>
      <b/>
      <sz val="22"/>
      <name val="Cambria"/>
      <family val="1"/>
    </font>
    <font>
      <sz val="21"/>
      <name val="Cambria"/>
      <family val="1"/>
    </font>
    <font>
      <sz val="22"/>
      <name val="Cambria"/>
      <family val="1"/>
    </font>
    <font>
      <sz val="20"/>
      <name val="Cambria"/>
      <family val="1"/>
    </font>
    <font>
      <sz val="22"/>
      <color rgb="FF000000"/>
      <name val="Cambria"/>
      <family val="1"/>
    </font>
    <font>
      <sz val="22"/>
      <color theme="0" tint="-0.34998626667073579"/>
      <name val="Cambria"/>
      <family val="1"/>
    </font>
    <font>
      <b/>
      <sz val="20"/>
      <color theme="1" tint="0.499984740745262"/>
      <name val="Cambria"/>
      <family val="1"/>
    </font>
    <font>
      <b/>
      <sz val="17"/>
      <color rgb="FF808080"/>
      <name val="Cambria"/>
      <family val="1"/>
    </font>
    <font>
      <sz val="20"/>
      <color rgb="FF000000"/>
      <name val="Cambria"/>
      <family val="1"/>
    </font>
    <font>
      <sz val="15"/>
      <color rgb="FF7F7F7F"/>
      <name val="Cambria"/>
      <family val="1"/>
    </font>
    <font>
      <sz val="13"/>
      <color rgb="FFED7D31"/>
      <name val="Cambria"/>
      <family val="1"/>
    </font>
    <font>
      <b/>
      <sz val="24"/>
      <color rgb="FF000000"/>
      <name val="Cambria"/>
      <family val="1"/>
    </font>
    <font>
      <sz val="15"/>
      <name val="Cambria"/>
      <family val="1"/>
    </font>
    <font>
      <sz val="20"/>
      <color theme="0" tint="-0.499984740745262"/>
      <name val="Cambria"/>
      <family val="1"/>
    </font>
    <font>
      <b/>
      <sz val="9"/>
      <color theme="1" tint="0.499984740745262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name val="Cambria"/>
      <family val="1"/>
    </font>
    <font>
      <b/>
      <sz val="11"/>
      <color rgb="FFFF0000"/>
      <name val="Cambria"/>
      <family val="1"/>
    </font>
    <font>
      <sz val="9"/>
      <color theme="1"/>
      <name val="Cambria"/>
      <family val="1"/>
    </font>
    <font>
      <b/>
      <sz val="10.5"/>
      <name val="Cambria"/>
      <family val="1"/>
    </font>
    <font>
      <sz val="7"/>
      <color rgb="FFFF0000"/>
      <name val="Cambria"/>
      <family val="1"/>
    </font>
    <font>
      <b/>
      <vertAlign val="superscript"/>
      <sz val="10"/>
      <name val="Cambria"/>
      <family val="1"/>
    </font>
    <font>
      <vertAlign val="superscript"/>
      <sz val="10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11"/>
      <color theme="1" tint="0.499984740745262"/>
      <name val="Cambria"/>
      <family val="1"/>
    </font>
    <font>
      <sz val="12"/>
      <name val="Cambria"/>
      <family val="1"/>
    </font>
    <font>
      <sz val="13"/>
      <color theme="1"/>
      <name val="Cambria"/>
      <family val="1"/>
    </font>
    <font>
      <sz val="12"/>
      <color theme="1"/>
      <name val="Cambria"/>
      <family val="1"/>
    </font>
    <font>
      <sz val="8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mbria"/>
      <family val="1"/>
    </font>
    <font>
      <b/>
      <sz val="17"/>
      <name val="Cambria"/>
      <family val="1"/>
    </font>
    <font>
      <b/>
      <sz val="14"/>
      <color theme="1" tint="0.499984740745262"/>
      <name val="Cambria"/>
      <family val="1"/>
    </font>
    <font>
      <sz val="17"/>
      <color theme="0" tint="-0.34998626667073579"/>
      <name val="Cambria"/>
      <family val="1"/>
    </font>
    <font>
      <sz val="13"/>
      <color rgb="FFFF0000"/>
      <name val="Cambria"/>
      <family val="1"/>
    </font>
    <font>
      <b/>
      <sz val="16"/>
      <color theme="1" tint="0.499984740745262"/>
      <name val="Cambria"/>
      <family val="1"/>
    </font>
    <font>
      <sz val="14"/>
      <color theme="0" tint="-0.499984740745262"/>
      <name val="Cambria"/>
      <family val="1"/>
    </font>
    <font>
      <sz val="14"/>
      <color theme="0"/>
      <name val="Cambria"/>
      <family val="1"/>
    </font>
    <font>
      <sz val="16"/>
      <color theme="0" tint="-0.34998626667073579"/>
      <name val="Cambria"/>
      <family val="1"/>
    </font>
    <font>
      <b/>
      <sz val="12"/>
      <color theme="1" tint="0.499984740745262"/>
      <name val="Cambria"/>
      <family val="1"/>
    </font>
    <font>
      <b/>
      <sz val="16"/>
      <color rgb="FF000000"/>
      <name val="Cambria"/>
      <family val="1"/>
    </font>
    <font>
      <b/>
      <sz val="16"/>
      <color theme="0" tint="-0.249977111117893"/>
      <name val="Cambria"/>
      <family val="1"/>
    </font>
    <font>
      <sz val="16"/>
      <color rgb="FF000000"/>
      <name val="Cambria"/>
      <family val="1"/>
    </font>
    <font>
      <b/>
      <sz val="22"/>
      <color rgb="FF000000"/>
      <name val="Cambria"/>
      <family val="1"/>
    </font>
    <font>
      <b/>
      <sz val="14"/>
      <color rgb="FF000000"/>
      <name val="Cambria"/>
      <family val="1"/>
    </font>
    <font>
      <b/>
      <sz val="25"/>
      <color theme="1" tint="0.499984740745262"/>
      <name val="Cambria"/>
      <family val="1"/>
    </font>
    <font>
      <b/>
      <sz val="25"/>
      <color rgb="FF000000"/>
      <name val="Cambria"/>
      <family val="1"/>
    </font>
    <font>
      <b/>
      <sz val="20"/>
      <color rgb="FF000000"/>
      <name val="Cambria"/>
      <family val="1"/>
    </font>
    <font>
      <sz val="10"/>
      <color rgb="FFC00000"/>
      <name val="Cambria"/>
      <family val="1"/>
    </font>
    <font>
      <sz val="17"/>
      <color theme="1" tint="0.249977111117893"/>
      <name val="Cambria"/>
      <family val="1"/>
    </font>
    <font>
      <sz val="21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sz val="16"/>
      <color theme="1" tint="0.249977111117893"/>
      <name val="Cambria"/>
      <family val="1"/>
    </font>
    <font>
      <b/>
      <sz val="21"/>
      <color theme="1" tint="0.249977111117893"/>
      <name val="Cambria"/>
      <family val="1"/>
    </font>
    <font>
      <b/>
      <sz val="18"/>
      <color theme="1" tint="0.14999847407452621"/>
      <name val="Cambria"/>
      <family val="1"/>
    </font>
    <font>
      <b/>
      <sz val="21"/>
      <color theme="1" tint="0.14999847407452621"/>
      <name val="Cambria"/>
      <family val="1"/>
    </font>
    <font>
      <sz val="10"/>
      <color theme="1" tint="0.249977111117893"/>
      <name val="Cambria"/>
      <family val="1"/>
    </font>
    <font>
      <sz val="10"/>
      <color theme="0" tint="-0.34998626667073579"/>
      <name val="Cambria"/>
      <family val="1"/>
    </font>
    <font>
      <sz val="10"/>
      <color rgb="FF808080"/>
      <name val="Cambria"/>
      <family val="1"/>
    </font>
    <font>
      <b/>
      <sz val="10"/>
      <color theme="1" tint="0.249977111117893"/>
      <name val="Cambria"/>
      <family val="1"/>
    </font>
    <font>
      <b/>
      <sz val="9"/>
      <color theme="1"/>
      <name val="Cambria"/>
      <family val="1"/>
    </font>
    <font>
      <b/>
      <sz val="10"/>
      <color rgb="FF000000"/>
      <name val="Cambria"/>
      <family val="1"/>
    </font>
    <font>
      <sz val="11"/>
      <color theme="1" tint="0.249977111117893"/>
      <name val="Cambria"/>
      <family val="1"/>
    </font>
    <font>
      <sz val="24"/>
      <color theme="1" tint="0.249977111117893"/>
      <name val="Cambria"/>
      <family val="1"/>
    </font>
    <font>
      <sz val="20"/>
      <color theme="0" tint="-0.34998626667073579"/>
      <name val="Cambria"/>
      <family val="1"/>
    </font>
    <font>
      <sz val="20"/>
      <color theme="1" tint="0.249977111117893"/>
      <name val="Cambria"/>
      <family val="1"/>
    </font>
    <font>
      <sz val="22"/>
      <color theme="1" tint="0.249977111117893"/>
      <name val="Cambria"/>
      <family val="1"/>
    </font>
    <font>
      <sz val="22"/>
      <color rgb="FF7F7F7F"/>
      <name val="Cambria"/>
      <family val="1"/>
    </font>
    <font>
      <b/>
      <sz val="28"/>
      <name val="Cambria"/>
      <family val="1"/>
    </font>
    <font>
      <b/>
      <sz val="24"/>
      <color theme="1" tint="0.249977111117893"/>
      <name val="Cambria"/>
      <family val="1"/>
    </font>
    <font>
      <b/>
      <sz val="9"/>
      <color theme="1" tint="0.249977111117893"/>
      <name val="Cambria"/>
      <family val="1"/>
    </font>
    <font>
      <sz val="8"/>
      <color theme="1" tint="0.249977111117893"/>
      <name val="Cambria"/>
      <family val="1"/>
    </font>
    <font>
      <sz val="7"/>
      <color theme="1" tint="0.249977111117893"/>
      <name val="Cambria"/>
      <family val="1"/>
    </font>
    <font>
      <sz val="9"/>
      <color theme="1" tint="0.249977111117893"/>
      <name val="Cambria"/>
      <family val="1"/>
    </font>
    <font>
      <b/>
      <sz val="9"/>
      <name val="Cambria"/>
      <family val="1"/>
    </font>
    <font>
      <b/>
      <vertAlign val="superscript"/>
      <sz val="9"/>
      <name val="Cambria"/>
      <family val="1"/>
    </font>
    <font>
      <vertAlign val="superscript"/>
      <sz val="9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sz val="12"/>
      <color rgb="FF000000"/>
      <name val="Cambria"/>
      <family val="1"/>
    </font>
    <font>
      <b/>
      <sz val="12"/>
      <color theme="1" tint="0.249977111117893"/>
      <name val="Cambria"/>
      <family val="1"/>
    </font>
    <font>
      <sz val="13"/>
      <color theme="1" tint="0.249977111117893"/>
      <name val="Cambria"/>
      <family val="1"/>
    </font>
    <font>
      <b/>
      <sz val="15"/>
      <name val="Cambria"/>
      <family val="1"/>
    </font>
    <font>
      <sz val="14"/>
      <color theme="0" tint="-0.34998626667073579"/>
      <name val="Cambria"/>
      <family val="1"/>
    </font>
    <font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2"/>
      <color theme="1" tint="0.249977111117893"/>
      <name val="Arial Narrow"/>
      <family val="2"/>
    </font>
    <font>
      <sz val="14"/>
      <color rgb="FFFF0000"/>
      <name val="Arial"/>
      <family val="2"/>
    </font>
    <font>
      <sz val="14"/>
      <color theme="0" tint="-0.499984740745262"/>
      <name val="Arial"/>
      <family val="2"/>
    </font>
    <font>
      <b/>
      <sz val="26"/>
      <color rgb="FF000000"/>
      <name val="Cambria"/>
      <family val="1"/>
    </font>
    <font>
      <sz val="18"/>
      <color theme="1" tint="0.249977111117893"/>
      <name val="Cambria"/>
      <family val="1"/>
    </font>
    <font>
      <b/>
      <sz val="18"/>
      <color theme="1" tint="0.249977111117893"/>
      <name val="Cambria"/>
      <family val="1"/>
    </font>
    <font>
      <b/>
      <sz val="30"/>
      <color theme="1" tint="0.249977111117893"/>
      <name val="Cambria"/>
      <family val="1"/>
    </font>
    <font>
      <u/>
      <sz val="18"/>
      <name val="Cambria"/>
      <family val="1"/>
    </font>
    <font>
      <u/>
      <sz val="21"/>
      <name val="Cambria"/>
      <family val="1"/>
    </font>
    <font>
      <b/>
      <sz val="16"/>
      <color theme="4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Calibri"/>
      <family val="2"/>
    </font>
    <font>
      <sz val="26"/>
      <color theme="1" tint="0.249977111117893"/>
      <name val="Cambria"/>
      <family val="1"/>
    </font>
    <font>
      <sz val="11"/>
      <color theme="1" tint="0.24994659260841701"/>
      <name val="Cambria"/>
      <family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u/>
      <sz val="10"/>
      <name val="Cambria"/>
      <family val="1"/>
    </font>
    <font>
      <b/>
      <vertAlign val="superscript"/>
      <sz val="11"/>
      <name val="Cambria"/>
      <family val="1"/>
    </font>
    <font>
      <b/>
      <vertAlign val="superscript"/>
      <sz val="12"/>
      <name val="Cambria"/>
      <family val="1"/>
    </font>
    <font>
      <vertAlign val="superscript"/>
      <sz val="16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theme="8" tint="0.59999389629810485"/>
        <bgColor rgb="FFB4C7E7"/>
      </patternFill>
    </fill>
    <fill>
      <patternFill patternType="solid">
        <fgColor rgb="FFFFC000"/>
        <bgColor indexed="64"/>
      </patternFill>
    </fill>
    <fill>
      <patternFill patternType="solid">
        <fgColor theme="7" tint="-0.499984740745262"/>
        <bgColor rgb="FF0033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4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indexed="64"/>
      </right>
      <top/>
      <bottom style="thin">
        <color theme="0" tint="-0.2499465926084170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 style="medium">
        <color theme="0" tint="-0.24994659260841701"/>
      </top>
      <bottom/>
      <diagonal/>
    </border>
    <border>
      <left style="double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auto="1"/>
      </right>
      <top/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dashDotDot">
        <color theme="1" tint="0.249977111117893"/>
      </right>
      <top/>
      <bottom/>
      <diagonal/>
    </border>
    <border>
      <left style="dashDotDot">
        <color theme="1" tint="0.249977111117893"/>
      </left>
      <right/>
      <top/>
      <bottom style="dashDotDot">
        <color theme="1" tint="0.249977111117893"/>
      </bottom>
      <diagonal/>
    </border>
    <border>
      <left/>
      <right style="dashDotDot">
        <color theme="1" tint="0.249977111117893"/>
      </right>
      <top/>
      <bottom style="dashDotDot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rgb="FF000000"/>
      </top>
      <bottom style="thin">
        <color rgb="FF00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/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/>
      <bottom style="thin">
        <color theme="1" tint="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thin">
        <color theme="1" tint="0.24994659260841701"/>
      </top>
      <bottom/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 style="thin">
        <color theme="1" tint="0.249977111117893"/>
      </right>
      <top style="medium">
        <color theme="1" tint="0.249977111117893"/>
      </top>
      <bottom/>
      <diagonal/>
    </border>
    <border>
      <left style="thin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/>
      <diagonal/>
    </border>
    <border>
      <left/>
      <right style="thin">
        <color indexed="64"/>
      </right>
      <top style="medium">
        <color theme="1" tint="0.249977111117893"/>
      </top>
      <bottom/>
      <diagonal/>
    </border>
    <border>
      <left style="thin">
        <color auto="1"/>
      </left>
      <right style="thin">
        <color auto="1"/>
      </right>
      <top style="medium">
        <color theme="1" tint="0.249977111117893"/>
      </top>
      <bottom/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 style="thin">
        <color theme="0" tint="-0.24994659260841701"/>
      </left>
      <right style="thin">
        <color theme="1" tint="0.249977111117893"/>
      </right>
      <top/>
      <bottom/>
      <diagonal/>
    </border>
    <border>
      <left style="thin">
        <color indexed="64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/>
      <bottom style="medium">
        <color theme="1" tint="0.249977111117893"/>
      </bottom>
      <diagonal/>
    </border>
    <border>
      <left/>
      <right style="thin">
        <color indexed="64"/>
      </right>
      <top/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/>
      <right/>
      <top style="medium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0" tint="-0.24994659260841701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/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 style="medium">
        <color theme="1" tint="0.249977111117893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0" tint="-0.24994659260841701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</borders>
  <cellStyleXfs count="19">
    <xf numFmtId="0" fontId="0" fillId="0" borderId="0"/>
    <xf numFmtId="165" fontId="27" fillId="0" borderId="0"/>
    <xf numFmtId="164" fontId="73" fillId="0" borderId="0"/>
    <xf numFmtId="164" fontId="73" fillId="0" borderId="0"/>
    <xf numFmtId="165" fontId="75" fillId="0" borderId="0"/>
    <xf numFmtId="165" fontId="75" fillId="0" borderId="0"/>
    <xf numFmtId="0" fontId="6" fillId="0" borderId="0"/>
    <xf numFmtId="0" fontId="6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1" fillId="0" borderId="0"/>
    <xf numFmtId="9" fontId="27" fillId="0" borderId="0"/>
    <xf numFmtId="9" fontId="73" fillId="0" borderId="0"/>
    <xf numFmtId="9" fontId="75" fillId="0" borderId="0"/>
    <xf numFmtId="9" fontId="75" fillId="0" borderId="0"/>
  </cellStyleXfs>
  <cellXfs count="1625">
    <xf numFmtId="0" fontId="0" fillId="0" borderId="0" xfId="0"/>
    <xf numFmtId="0" fontId="6" fillId="0" borderId="0" xfId="7"/>
    <xf numFmtId="0" fontId="2" fillId="0" borderId="0" xfId="8"/>
    <xf numFmtId="0" fontId="75" fillId="0" borderId="0" xfId="9"/>
    <xf numFmtId="0" fontId="27" fillId="0" borderId="0" xfId="10"/>
    <xf numFmtId="0" fontId="1" fillId="0" borderId="0" xfId="14"/>
    <xf numFmtId="0" fontId="4" fillId="0" borderId="0" xfId="0" applyFont="1" applyAlignment="1">
      <alignment vertical="center"/>
    </xf>
    <xf numFmtId="3" fontId="14" fillId="0" borderId="0" xfId="1" applyNumberFormat="1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 applyAlignment="1">
      <alignment vertical="center"/>
    </xf>
    <xf numFmtId="0" fontId="23" fillId="0" borderId="0" xfId="0" applyFont="1"/>
    <xf numFmtId="0" fontId="26" fillId="0" borderId="0" xfId="0" applyFont="1"/>
    <xf numFmtId="0" fontId="11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4" fillId="0" borderId="0" xfId="0" applyFont="1" applyAlignment="1">
      <alignment vertical="top"/>
    </xf>
    <xf numFmtId="0" fontId="2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2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17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37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vertical="center"/>
    </xf>
    <xf numFmtId="0" fontId="7" fillId="0" borderId="0" xfId="0" applyFont="1"/>
    <xf numFmtId="167" fontId="8" fillId="0" borderId="0" xfId="0" applyNumberFormat="1" applyFont="1"/>
    <xf numFmtId="168" fontId="38" fillId="0" borderId="0" xfId="0" applyNumberFormat="1" applyFont="1"/>
    <xf numFmtId="0" fontId="24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20" fillId="0" borderId="0" xfId="0" applyFont="1"/>
    <xf numFmtId="0" fontId="39" fillId="0" borderId="0" xfId="0" applyFont="1"/>
    <xf numFmtId="0" fontId="41" fillId="0" borderId="0" xfId="0" applyFont="1"/>
    <xf numFmtId="2" fontId="37" fillId="0" borderId="0" xfId="0" applyNumberFormat="1" applyFont="1"/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top"/>
    </xf>
    <xf numFmtId="0" fontId="3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43" fillId="0" borderId="0" xfId="0" applyFont="1"/>
    <xf numFmtId="0" fontId="22" fillId="0" borderId="0" xfId="0" applyFont="1" applyAlignment="1">
      <alignment vertical="top"/>
    </xf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vertical="top"/>
    </xf>
    <xf numFmtId="0" fontId="46" fillId="0" borderId="0" xfId="0" applyFont="1" applyAlignment="1">
      <alignment vertical="top"/>
    </xf>
    <xf numFmtId="1" fontId="44" fillId="0" borderId="0" xfId="0" applyNumberFormat="1" applyFont="1" applyAlignment="1">
      <alignment horizontal="right" textRotation="90"/>
    </xf>
    <xf numFmtId="0" fontId="48" fillId="0" borderId="0" xfId="0" applyFont="1"/>
    <xf numFmtId="0" fontId="47" fillId="0" borderId="0" xfId="0" applyFont="1"/>
    <xf numFmtId="0" fontId="50" fillId="0" borderId="0" xfId="0" applyFont="1"/>
    <xf numFmtId="0" fontId="49" fillId="0" borderId="0" xfId="0" applyFont="1" applyAlignment="1">
      <alignment horizontal="right"/>
    </xf>
    <xf numFmtId="0" fontId="50" fillId="0" borderId="0" xfId="0" applyFont="1" applyAlignment="1">
      <alignment vertical="center"/>
    </xf>
    <xf numFmtId="0" fontId="32" fillId="0" borderId="0" xfId="12" applyFont="1"/>
    <xf numFmtId="0" fontId="30" fillId="0" borderId="0" xfId="12" applyFont="1"/>
    <xf numFmtId="0" fontId="70" fillId="0" borderId="0" xfId="12" applyFont="1"/>
    <xf numFmtId="0" fontId="30" fillId="0" borderId="0" xfId="12" applyFont="1" applyAlignment="1">
      <alignment vertical="top"/>
    </xf>
    <xf numFmtId="0" fontId="70" fillId="0" borderId="0" xfId="12" applyFont="1" applyAlignment="1">
      <alignment vertical="center"/>
    </xf>
    <xf numFmtId="0" fontId="32" fillId="0" borderId="0" xfId="12" applyFont="1" applyAlignment="1">
      <alignment vertical="center"/>
    </xf>
    <xf numFmtId="0" fontId="0" fillId="0" borderId="0" xfId="0" applyAlignment="1">
      <alignment horizontal="right"/>
    </xf>
    <xf numFmtId="0" fontId="28" fillId="0" borderId="0" xfId="12" applyFont="1"/>
    <xf numFmtId="1" fontId="63" fillId="0" borderId="0" xfId="12" applyNumberFormat="1" applyFont="1" applyAlignment="1">
      <alignment horizontal="center" textRotation="90"/>
    </xf>
    <xf numFmtId="0" fontId="28" fillId="0" borderId="0" xfId="12" applyFont="1" applyAlignment="1">
      <alignment vertical="center"/>
    </xf>
    <xf numFmtId="0" fontId="28" fillId="0" borderId="0" xfId="12" applyFont="1" applyAlignment="1">
      <alignment horizontal="left" vertical="center"/>
    </xf>
    <xf numFmtId="0" fontId="74" fillId="0" borderId="0" xfId="12" applyFont="1" applyAlignment="1">
      <alignment vertical="center"/>
    </xf>
    <xf numFmtId="0" fontId="31" fillId="0" borderId="0" xfId="12" applyFont="1" applyAlignment="1">
      <alignment vertical="center"/>
    </xf>
    <xf numFmtId="0" fontId="0" fillId="0" borderId="0" xfId="0" applyAlignment="1">
      <alignment vertical="top"/>
    </xf>
    <xf numFmtId="0" fontId="28" fillId="0" borderId="0" xfId="12" applyFont="1" applyAlignment="1">
      <alignment vertical="top"/>
    </xf>
    <xf numFmtId="0" fontId="40" fillId="0" borderId="0" xfId="12" applyFont="1" applyAlignment="1">
      <alignment horizontal="right" vertical="center"/>
    </xf>
    <xf numFmtId="0" fontId="30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69" fillId="0" borderId="0" xfId="0" applyFont="1"/>
    <xf numFmtId="0" fontId="24" fillId="0" borderId="0" xfId="0" applyFont="1" applyAlignment="1">
      <alignment vertical="center"/>
    </xf>
    <xf numFmtId="0" fontId="42" fillId="0" borderId="0" xfId="0" applyFont="1"/>
    <xf numFmtId="0" fontId="68" fillId="0" borderId="0" xfId="0" applyFont="1"/>
    <xf numFmtId="0" fontId="67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4" fillId="0" borderId="0" xfId="0" applyFont="1"/>
    <xf numFmtId="0" fontId="62" fillId="0" borderId="0" xfId="0" applyFont="1" applyAlignment="1">
      <alignment horizontal="center" vertical="center" textRotation="90"/>
    </xf>
    <xf numFmtId="1" fontId="61" fillId="0" borderId="0" xfId="0" applyNumberFormat="1" applyFont="1" applyAlignment="1">
      <alignment horizontal="left" vertical="center"/>
    </xf>
    <xf numFmtId="1" fontId="60" fillId="0" borderId="0" xfId="0" applyNumberFormat="1" applyFont="1" applyAlignment="1">
      <alignment horizontal="left" vertical="center"/>
    </xf>
    <xf numFmtId="3" fontId="59" fillId="0" borderId="0" xfId="1" applyNumberFormat="1" applyFont="1" applyAlignment="1">
      <alignment horizontal="right" vertical="center"/>
    </xf>
    <xf numFmtId="0" fontId="35" fillId="0" borderId="0" xfId="0" applyFont="1"/>
    <xf numFmtId="0" fontId="11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1" fontId="54" fillId="0" borderId="0" xfId="0" applyNumberFormat="1" applyFont="1" applyAlignment="1">
      <alignment horizontal="center" textRotation="90"/>
    </xf>
    <xf numFmtId="1" fontId="55" fillId="0" borderId="0" xfId="0" applyNumberFormat="1" applyFont="1" applyAlignment="1">
      <alignment horizontal="center" textRotation="90"/>
    </xf>
    <xf numFmtId="0" fontId="56" fillId="0" borderId="0" xfId="0" applyFont="1"/>
    <xf numFmtId="0" fontId="75" fillId="0" borderId="0" xfId="9" applyAlignment="1">
      <alignment horizontal="left"/>
    </xf>
    <xf numFmtId="0" fontId="76" fillId="0" borderId="0" xfId="9" applyFont="1" applyAlignment="1">
      <alignment horizontal="right"/>
    </xf>
    <xf numFmtId="0" fontId="77" fillId="0" borderId="0" xfId="9" applyFont="1"/>
    <xf numFmtId="0" fontId="8" fillId="0" borderId="0" xfId="9" applyFont="1"/>
    <xf numFmtId="174" fontId="75" fillId="0" borderId="0" xfId="9" applyNumberFormat="1"/>
    <xf numFmtId="1" fontId="75" fillId="0" borderId="0" xfId="9" applyNumberFormat="1"/>
    <xf numFmtId="0" fontId="75" fillId="0" borderId="0" xfId="9" applyAlignment="1">
      <alignment horizontal="right"/>
    </xf>
    <xf numFmtId="49" fontId="77" fillId="0" borderId="0" xfId="9" applyNumberFormat="1" applyFont="1" applyAlignment="1">
      <alignment horizontal="right"/>
    </xf>
    <xf numFmtId="174" fontId="75" fillId="0" borderId="0" xfId="9" applyNumberFormat="1" applyAlignment="1">
      <alignment horizontal="right"/>
    </xf>
    <xf numFmtId="0" fontId="78" fillId="0" borderId="0" xfId="9" applyFont="1"/>
    <xf numFmtId="49" fontId="75" fillId="0" borderId="0" xfId="9" applyNumberFormat="1"/>
    <xf numFmtId="0" fontId="78" fillId="0" borderId="0" xfId="9" applyFont="1" applyAlignment="1">
      <alignment horizontal="left"/>
    </xf>
    <xf numFmtId="0" fontId="76" fillId="0" borderId="0" xfId="9" applyFont="1"/>
    <xf numFmtId="49" fontId="77" fillId="0" borderId="0" xfId="9" applyNumberFormat="1" applyFont="1"/>
    <xf numFmtId="0" fontId="66" fillId="0" borderId="0" xfId="9" applyFont="1" applyAlignment="1">
      <alignment vertical="center"/>
    </xf>
    <xf numFmtId="3" fontId="80" fillId="0" borderId="0" xfId="4" quotePrefix="1" applyNumberFormat="1" applyFont="1" applyAlignment="1">
      <alignment horizontal="right" vertical="center"/>
    </xf>
    <xf numFmtId="0" fontId="66" fillId="0" borderId="0" xfId="9" applyFont="1" applyAlignment="1">
      <alignment horizontal="right" vertical="center"/>
    </xf>
    <xf numFmtId="3" fontId="80" fillId="0" borderId="0" xfId="4" quotePrefix="1" applyNumberFormat="1" applyFont="1" applyAlignment="1">
      <alignment horizontal="right"/>
    </xf>
    <xf numFmtId="0" fontId="81" fillId="0" borderId="0" xfId="9" applyFont="1" applyAlignment="1">
      <alignment vertical="center"/>
    </xf>
    <xf numFmtId="0" fontId="82" fillId="0" borderId="0" xfId="9" applyFont="1"/>
    <xf numFmtId="0" fontId="84" fillId="0" borderId="0" xfId="9" applyFont="1"/>
    <xf numFmtId="0" fontId="85" fillId="0" borderId="0" xfId="9" applyFont="1" applyAlignment="1">
      <alignment vertical="center"/>
    </xf>
    <xf numFmtId="0" fontId="4" fillId="0" borderId="0" xfId="9" applyFont="1" applyAlignment="1">
      <alignment horizontal="right"/>
    </xf>
    <xf numFmtId="0" fontId="86" fillId="0" borderId="0" xfId="9" applyFont="1"/>
    <xf numFmtId="0" fontId="87" fillId="0" borderId="0" xfId="9" applyFont="1" applyAlignment="1">
      <alignment vertical="top"/>
    </xf>
    <xf numFmtId="0" fontId="88" fillId="0" borderId="0" xfId="9" applyFont="1" applyAlignment="1">
      <alignment horizontal="center" vertical="center"/>
    </xf>
    <xf numFmtId="0" fontId="89" fillId="0" borderId="0" xfId="9" applyFont="1" applyAlignment="1">
      <alignment vertical="center"/>
    </xf>
    <xf numFmtId="0" fontId="90" fillId="0" borderId="0" xfId="9" applyFont="1"/>
    <xf numFmtId="0" fontId="91" fillId="0" borderId="0" xfId="9" applyFont="1"/>
    <xf numFmtId="175" fontId="92" fillId="0" borderId="0" xfId="9" applyNumberFormat="1" applyFont="1" applyAlignment="1">
      <alignment vertical="center"/>
    </xf>
    <xf numFmtId="0" fontId="84" fillId="0" borderId="0" xfId="9" applyFont="1" applyAlignment="1">
      <alignment vertical="center"/>
    </xf>
    <xf numFmtId="0" fontId="86" fillId="0" borderId="0" xfId="9" applyFont="1" applyAlignment="1">
      <alignment vertical="center"/>
    </xf>
    <xf numFmtId="0" fontId="82" fillId="0" borderId="0" xfId="9" applyFont="1" applyAlignment="1">
      <alignment vertical="center"/>
    </xf>
    <xf numFmtId="0" fontId="93" fillId="0" borderId="0" xfId="9" applyFont="1" applyAlignment="1">
      <alignment vertical="center"/>
    </xf>
    <xf numFmtId="0" fontId="94" fillId="0" borderId="0" xfId="9" applyFont="1" applyAlignment="1">
      <alignment vertical="center"/>
    </xf>
    <xf numFmtId="0" fontId="95" fillId="0" borderId="0" xfId="9" applyFont="1"/>
    <xf numFmtId="0" fontId="96" fillId="0" borderId="0" xfId="9" applyFont="1" applyAlignment="1">
      <alignment vertical="center"/>
    </xf>
    <xf numFmtId="0" fontId="97" fillId="0" borderId="0" xfId="9" applyFont="1"/>
    <xf numFmtId="0" fontId="98" fillId="0" borderId="0" xfId="9" applyFont="1" applyAlignment="1">
      <alignment vertical="center"/>
    </xf>
    <xf numFmtId="0" fontId="99" fillId="0" borderId="0" xfId="9" applyFont="1"/>
    <xf numFmtId="0" fontId="100" fillId="0" borderId="0" xfId="9" applyFont="1"/>
    <xf numFmtId="0" fontId="97" fillId="0" borderId="0" xfId="9" applyFont="1" applyAlignment="1">
      <alignment vertical="top"/>
    </xf>
    <xf numFmtId="175" fontId="96" fillId="0" borderId="0" xfId="9" applyNumberFormat="1" applyFont="1" applyAlignment="1">
      <alignment vertical="center"/>
    </xf>
    <xf numFmtId="0" fontId="101" fillId="0" borderId="0" xfId="9" applyFont="1" applyAlignment="1">
      <alignment vertical="center"/>
    </xf>
    <xf numFmtId="0" fontId="98" fillId="0" borderId="0" xfId="9" applyFont="1" applyAlignment="1">
      <alignment vertical="top"/>
    </xf>
    <xf numFmtId="0" fontId="97" fillId="0" borderId="0" xfId="9" applyFont="1" applyAlignment="1">
      <alignment horizontal="right" vertical="top"/>
    </xf>
    <xf numFmtId="0" fontId="99" fillId="0" borderId="0" xfId="9" applyFont="1" applyAlignment="1">
      <alignment vertical="top"/>
    </xf>
    <xf numFmtId="0" fontId="75" fillId="0" borderId="0" xfId="9" applyAlignment="1">
      <alignment vertical="center"/>
    </xf>
    <xf numFmtId="0" fontId="102" fillId="0" borderId="0" xfId="9" applyFont="1" applyAlignment="1">
      <alignment horizontal="left" vertical="center" wrapText="1"/>
    </xf>
    <xf numFmtId="0" fontId="102" fillId="0" borderId="0" xfId="9" applyFont="1" applyAlignment="1">
      <alignment vertical="center"/>
    </xf>
    <xf numFmtId="14" fontId="102" fillId="0" borderId="0" xfId="9" applyNumberFormat="1" applyFont="1" applyAlignment="1">
      <alignment horizontal="left" vertical="center" wrapText="1"/>
    </xf>
    <xf numFmtId="0" fontId="103" fillId="0" borderId="0" xfId="9" applyFont="1" applyAlignment="1">
      <alignment vertical="center"/>
    </xf>
    <xf numFmtId="0" fontId="104" fillId="0" borderId="0" xfId="9" applyFont="1" applyAlignment="1">
      <alignment vertical="center"/>
    </xf>
    <xf numFmtId="170" fontId="102" fillId="0" borderId="0" xfId="9" applyNumberFormat="1" applyFont="1" applyAlignment="1">
      <alignment horizontal="left" vertical="center" wrapText="1"/>
    </xf>
    <xf numFmtId="0" fontId="102" fillId="0" borderId="0" xfId="9" quotePrefix="1" applyFont="1" applyAlignment="1">
      <alignment horizontal="left" vertical="center"/>
    </xf>
    <xf numFmtId="176" fontId="102" fillId="0" borderId="0" xfId="9" applyNumberFormat="1" applyFont="1" applyAlignment="1">
      <alignment horizontal="left" vertical="center" wrapText="1"/>
    </xf>
    <xf numFmtId="14" fontId="75" fillId="0" borderId="0" xfId="9" applyNumberFormat="1" applyAlignment="1">
      <alignment horizontal="left" vertical="center" wrapText="1"/>
    </xf>
    <xf numFmtId="0" fontId="102" fillId="11" borderId="0" xfId="9" applyFont="1" applyFill="1" applyAlignment="1">
      <alignment vertical="center"/>
    </xf>
    <xf numFmtId="0" fontId="102" fillId="11" borderId="0" xfId="9" applyFont="1" applyFill="1" applyAlignment="1">
      <alignment horizontal="left" vertical="center" wrapText="1"/>
    </xf>
    <xf numFmtId="1" fontId="102" fillId="0" borderId="0" xfId="9" applyNumberFormat="1" applyFont="1" applyAlignment="1">
      <alignment horizontal="left" vertical="center" wrapText="1"/>
    </xf>
    <xf numFmtId="0" fontId="75" fillId="12" borderId="0" xfId="9" applyFill="1" applyAlignment="1">
      <alignment vertical="center"/>
    </xf>
    <xf numFmtId="0" fontId="102" fillId="12" borderId="0" xfId="9" applyFont="1" applyFill="1" applyAlignment="1">
      <alignment vertical="center"/>
    </xf>
    <xf numFmtId="0" fontId="102" fillId="12" borderId="0" xfId="9" applyFont="1" applyFill="1" applyAlignment="1">
      <alignment horizontal="right" vertical="center"/>
    </xf>
    <xf numFmtId="0" fontId="106" fillId="0" borderId="0" xfId="0" applyFont="1"/>
    <xf numFmtId="0" fontId="108" fillId="0" borderId="0" xfId="0" applyFont="1" applyAlignment="1">
      <alignment vertical="center"/>
    </xf>
    <xf numFmtId="0" fontId="110" fillId="0" borderId="0" xfId="0" applyFont="1" applyAlignment="1">
      <alignment horizontal="left" vertical="center"/>
    </xf>
    <xf numFmtId="0" fontId="114" fillId="0" borderId="0" xfId="0" applyFont="1" applyAlignment="1">
      <alignment vertical="center" wrapText="1"/>
    </xf>
    <xf numFmtId="3" fontId="108" fillId="0" borderId="0" xfId="0" applyNumberFormat="1" applyFont="1" applyAlignment="1">
      <alignment vertical="center"/>
    </xf>
    <xf numFmtId="0" fontId="120" fillId="0" borderId="0" xfId="0" applyFont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right" vertical="center" wrapText="1"/>
    </xf>
    <xf numFmtId="0" fontId="123" fillId="0" borderId="0" xfId="0" applyFont="1" applyAlignment="1">
      <alignment vertical="center"/>
    </xf>
    <xf numFmtId="0" fontId="125" fillId="0" borderId="0" xfId="0" applyFont="1" applyAlignment="1">
      <alignment horizontal="left" vertical="center"/>
    </xf>
    <xf numFmtId="0" fontId="126" fillId="0" borderId="0" xfId="0" applyFont="1" applyAlignment="1">
      <alignment vertical="center"/>
    </xf>
    <xf numFmtId="0" fontId="118" fillId="0" borderId="3" xfId="0" applyFont="1" applyBorder="1" applyAlignment="1">
      <alignment horizontal="left" vertical="center"/>
    </xf>
    <xf numFmtId="0" fontId="127" fillId="0" borderId="0" xfId="0" applyFont="1" applyAlignment="1">
      <alignment vertical="center"/>
    </xf>
    <xf numFmtId="0" fontId="115" fillId="0" borderId="0" xfId="0" applyFont="1" applyAlignment="1">
      <alignment horizontal="left" vertical="center"/>
    </xf>
    <xf numFmtId="3" fontId="115" fillId="0" borderId="0" xfId="0" applyNumberFormat="1" applyFont="1" applyAlignment="1">
      <alignment vertical="center"/>
    </xf>
    <xf numFmtId="0" fontId="127" fillId="0" borderId="0" xfId="0" applyFont="1" applyAlignment="1">
      <alignment horizontal="left" vertical="center"/>
    </xf>
    <xf numFmtId="49" fontId="115" fillId="0" borderId="0" xfId="0" applyNumberFormat="1" applyFont="1" applyAlignment="1">
      <alignment horizontal="left" vertical="center"/>
    </xf>
    <xf numFmtId="1" fontId="129" fillId="0" borderId="0" xfId="0" applyNumberFormat="1" applyFont="1" applyAlignment="1">
      <alignment horizontal="left" textRotation="90"/>
    </xf>
    <xf numFmtId="0" fontId="130" fillId="0" borderId="0" xfId="9" applyFont="1"/>
    <xf numFmtId="0" fontId="126" fillId="0" borderId="0" xfId="9" applyFont="1"/>
    <xf numFmtId="0" fontId="106" fillId="0" borderId="0" xfId="9" applyFont="1"/>
    <xf numFmtId="0" fontId="130" fillId="0" borderId="0" xfId="9" applyFont="1" applyAlignment="1">
      <alignment vertical="top"/>
    </xf>
    <xf numFmtId="0" fontId="133" fillId="0" borderId="0" xfId="4" applyNumberFormat="1" applyFont="1" applyAlignment="1">
      <alignment horizontal="left" vertical="top"/>
    </xf>
    <xf numFmtId="0" fontId="126" fillId="0" borderId="0" xfId="9" applyFont="1" applyAlignment="1">
      <alignment vertical="top"/>
    </xf>
    <xf numFmtId="0" fontId="106" fillId="0" borderId="0" xfId="9" applyFont="1" applyAlignment="1">
      <alignment vertical="top"/>
    </xf>
    <xf numFmtId="0" fontId="133" fillId="0" borderId="0" xfId="4" applyNumberFormat="1" applyFont="1" applyAlignment="1">
      <alignment horizontal="right" vertical="top"/>
    </xf>
    <xf numFmtId="0" fontId="133" fillId="0" borderId="0" xfId="4" applyNumberFormat="1" applyFont="1" applyAlignment="1">
      <alignment horizontal="center" vertical="top"/>
    </xf>
    <xf numFmtId="0" fontId="133" fillId="0" borderId="0" xfId="4" applyNumberFormat="1" applyFont="1" applyAlignment="1">
      <alignment horizontal="left" vertical="top" wrapText="1"/>
    </xf>
    <xf numFmtId="0" fontId="133" fillId="0" borderId="0" xfId="4" applyNumberFormat="1" applyFont="1" applyAlignment="1">
      <alignment vertical="top" wrapText="1"/>
    </xf>
    <xf numFmtId="0" fontId="130" fillId="0" borderId="0" xfId="9" applyFont="1" applyAlignment="1">
      <alignment vertical="center"/>
    </xf>
    <xf numFmtId="0" fontId="126" fillId="0" borderId="0" xfId="9" applyFont="1" applyAlignment="1">
      <alignment vertical="center"/>
    </xf>
    <xf numFmtId="0" fontId="106" fillId="0" borderId="0" xfId="9" applyFont="1" applyAlignment="1">
      <alignment vertical="center"/>
    </xf>
    <xf numFmtId="0" fontId="131" fillId="0" borderId="0" xfId="9" applyFont="1" applyAlignment="1">
      <alignment horizontal="left" vertical="center"/>
    </xf>
    <xf numFmtId="0" fontId="135" fillId="9" borderId="0" xfId="9" applyFont="1" applyFill="1" applyAlignment="1">
      <alignment vertical="center"/>
    </xf>
    <xf numFmtId="0" fontId="126" fillId="0" borderId="0" xfId="9" applyFont="1" applyAlignment="1">
      <alignment horizontal="left" vertical="center"/>
    </xf>
    <xf numFmtId="0" fontId="137" fillId="0" borderId="0" xfId="9" applyFont="1" applyAlignment="1">
      <alignment vertical="center"/>
    </xf>
    <xf numFmtId="0" fontId="139" fillId="0" borderId="0" xfId="9" applyFont="1" applyAlignment="1">
      <alignment vertical="center"/>
    </xf>
    <xf numFmtId="0" fontId="140" fillId="0" borderId="0" xfId="9" applyFont="1" applyAlignment="1">
      <alignment vertical="center"/>
    </xf>
    <xf numFmtId="0" fontId="141" fillId="0" borderId="0" xfId="9" applyFont="1" applyAlignment="1">
      <alignment vertical="center"/>
    </xf>
    <xf numFmtId="0" fontId="130" fillId="8" borderId="0" xfId="9" applyFont="1" applyFill="1" applyAlignment="1">
      <alignment horizontal="right" vertical="center"/>
    </xf>
    <xf numFmtId="0" fontId="132" fillId="0" borderId="0" xfId="9" applyFont="1" applyAlignment="1">
      <alignment vertical="center"/>
    </xf>
    <xf numFmtId="0" fontId="131" fillId="0" borderId="0" xfId="9" applyFont="1" applyAlignment="1">
      <alignment horizontal="center" vertical="center"/>
    </xf>
    <xf numFmtId="0" fontId="133" fillId="0" borderId="0" xfId="9" applyFont="1" applyAlignment="1">
      <alignment horizontal="right" vertical="center"/>
    </xf>
    <xf numFmtId="0" fontId="133" fillId="0" borderId="0" xfId="9" applyFont="1" applyAlignment="1">
      <alignment horizontal="center" vertical="center"/>
    </xf>
    <xf numFmtId="169" fontId="133" fillId="0" borderId="0" xfId="9" applyNumberFormat="1" applyFont="1" applyAlignment="1">
      <alignment horizontal="left" vertical="center"/>
    </xf>
    <xf numFmtId="0" fontId="141" fillId="0" borderId="0" xfId="9" applyFont="1" applyAlignment="1">
      <alignment horizontal="center" vertical="center"/>
    </xf>
    <xf numFmtId="0" fontId="141" fillId="0" borderId="0" xfId="9" applyFont="1" applyAlignment="1">
      <alignment horizontal="right" vertical="center"/>
    </xf>
    <xf numFmtId="2" fontId="132" fillId="0" borderId="0" xfId="9" applyNumberFormat="1" applyFont="1" applyAlignment="1">
      <alignment vertical="center"/>
    </xf>
    <xf numFmtId="0" fontId="130" fillId="0" borderId="0" xfId="9" applyFont="1" applyAlignment="1">
      <alignment horizontal="right" vertical="center"/>
    </xf>
    <xf numFmtId="0" fontId="129" fillId="0" borderId="0" xfId="0" applyFont="1" applyAlignment="1">
      <alignment horizontal="left"/>
    </xf>
    <xf numFmtId="0" fontId="129" fillId="0" borderId="0" xfId="0" applyFont="1"/>
    <xf numFmtId="0" fontId="147" fillId="0" borderId="0" xfId="0" applyFont="1" applyAlignment="1">
      <alignment horizontal="right"/>
    </xf>
    <xf numFmtId="0" fontId="148" fillId="0" borderId="0" xfId="0" applyFont="1" applyAlignment="1">
      <alignment horizontal="left" vertical="top"/>
    </xf>
    <xf numFmtId="0" fontId="129" fillId="0" borderId="0" xfId="0" applyFont="1" applyAlignment="1">
      <alignment horizontal="left" vertical="top"/>
    </xf>
    <xf numFmtId="0" fontId="148" fillId="0" borderId="0" xfId="0" applyFont="1" applyAlignment="1">
      <alignment horizontal="right" vertical="top"/>
    </xf>
    <xf numFmtId="0" fontId="129" fillId="0" borderId="0" xfId="0" applyFont="1" applyAlignment="1">
      <alignment horizontal="right" vertical="top"/>
    </xf>
    <xf numFmtId="0" fontId="147" fillId="0" borderId="0" xfId="0" applyFont="1" applyAlignment="1">
      <alignment horizontal="left"/>
    </xf>
    <xf numFmtId="0" fontId="147" fillId="0" borderId="0" xfId="0" applyFont="1" applyAlignment="1">
      <alignment horizontal="center"/>
    </xf>
    <xf numFmtId="0" fontId="151" fillId="0" borderId="0" xfId="0" applyFont="1"/>
    <xf numFmtId="0" fontId="129" fillId="0" borderId="0" xfId="0" applyFont="1" applyAlignment="1">
      <alignment horizontal="center" vertical="top"/>
    </xf>
    <xf numFmtId="0" fontId="148" fillId="0" borderId="0" xfId="0" applyFont="1"/>
    <xf numFmtId="0" fontId="148" fillId="0" borderId="0" xfId="0" applyFont="1" applyAlignment="1">
      <alignment horizontal="center" vertical="top"/>
    </xf>
    <xf numFmtId="0" fontId="147" fillId="0" borderId="0" xfId="0" applyFont="1"/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0" xfId="0" applyFont="1" applyAlignment="1">
      <alignment horizontal="center" vertical="center"/>
    </xf>
    <xf numFmtId="0" fontId="157" fillId="0" borderId="0" xfId="0" applyFont="1" applyAlignment="1">
      <alignment horizontal="center" vertical="center"/>
    </xf>
    <xf numFmtId="0" fontId="157" fillId="0" borderId="0" xfId="0" applyFont="1" applyAlignment="1">
      <alignment horizontal="left" vertical="center"/>
    </xf>
    <xf numFmtId="0" fontId="157" fillId="0" borderId="0" xfId="0" applyFont="1" applyAlignment="1">
      <alignment vertical="center"/>
    </xf>
    <xf numFmtId="0" fontId="110" fillId="0" borderId="0" xfId="0" applyFont="1" applyAlignment="1">
      <alignment horizontal="center" vertical="center"/>
    </xf>
    <xf numFmtId="3" fontId="157" fillId="0" borderId="0" xfId="1" applyNumberFormat="1" applyFont="1" applyAlignment="1">
      <alignment horizontal="right" vertical="center"/>
    </xf>
    <xf numFmtId="0" fontId="157" fillId="0" borderId="0" xfId="0" applyFont="1"/>
    <xf numFmtId="0" fontId="154" fillId="0" borderId="0" xfId="1" applyNumberFormat="1" applyFont="1" applyAlignment="1">
      <alignment horizontal="left"/>
    </xf>
    <xf numFmtId="0" fontId="158" fillId="0" borderId="0" xfId="0" applyFont="1"/>
    <xf numFmtId="0" fontId="156" fillId="0" borderId="0" xfId="0" applyFont="1"/>
    <xf numFmtId="0" fontId="154" fillId="0" borderId="0" xfId="0" applyFont="1" applyAlignment="1">
      <alignment horizontal="right"/>
    </xf>
    <xf numFmtId="0" fontId="156" fillId="0" borderId="0" xfId="0" applyFont="1" applyAlignment="1">
      <alignment horizontal="left"/>
    </xf>
    <xf numFmtId="0" fontId="157" fillId="0" borderId="0" xfId="0" applyFont="1" applyAlignment="1">
      <alignment vertical="top"/>
    </xf>
    <xf numFmtId="0" fontId="156" fillId="0" borderId="0" xfId="1" applyNumberFormat="1" applyFont="1"/>
    <xf numFmtId="166" fontId="154" fillId="0" borderId="0" xfId="1" applyNumberFormat="1" applyFont="1" applyAlignment="1">
      <alignment horizontal="left"/>
    </xf>
    <xf numFmtId="0" fontId="156" fillId="0" borderId="0" xfId="0" applyFont="1" applyAlignment="1">
      <alignment horizontal="right" vertical="top"/>
    </xf>
    <xf numFmtId="0" fontId="156" fillId="0" borderId="0" xfId="0" applyFont="1" applyAlignment="1">
      <alignment horizontal="left" vertical="top"/>
    </xf>
    <xf numFmtId="0" fontId="156" fillId="0" borderId="0" xfId="0" applyFont="1" applyAlignment="1">
      <alignment vertical="top"/>
    </xf>
    <xf numFmtId="0" fontId="157" fillId="0" borderId="0" xfId="0" applyFont="1" applyAlignment="1">
      <alignment horizontal="left" vertical="top"/>
    </xf>
    <xf numFmtId="0" fontId="157" fillId="0" borderId="0" xfId="0" applyFont="1" applyAlignment="1">
      <alignment horizontal="right" vertical="top"/>
    </xf>
    <xf numFmtId="14" fontId="160" fillId="0" borderId="8" xfId="0" applyNumberFormat="1" applyFont="1" applyBorder="1" applyAlignment="1">
      <alignment horizontal="left"/>
    </xf>
    <xf numFmtId="14" fontId="161" fillId="0" borderId="8" xfId="0" applyNumberFormat="1" applyFont="1" applyBorder="1" applyAlignment="1">
      <alignment horizontal="left"/>
    </xf>
    <xf numFmtId="0" fontId="110" fillId="0" borderId="0" xfId="0" applyFont="1"/>
    <xf numFmtId="49" fontId="157" fillId="0" borderId="0" xfId="0" applyNumberFormat="1" applyFont="1" applyAlignment="1">
      <alignment horizontal="center" vertical="center"/>
    </xf>
    <xf numFmtId="0" fontId="157" fillId="0" borderId="0" xfId="0" applyFont="1" applyAlignment="1">
      <alignment horizontal="left" vertical="center" indent="4"/>
    </xf>
    <xf numFmtId="0" fontId="154" fillId="0" borderId="0" xfId="0" applyFont="1" applyAlignment="1">
      <alignment horizontal="center"/>
    </xf>
    <xf numFmtId="0" fontId="159" fillId="0" borderId="0" xfId="0" applyFont="1" applyAlignment="1">
      <alignment vertical="top"/>
    </xf>
    <xf numFmtId="0" fontId="142" fillId="0" borderId="0" xfId="0" applyFont="1"/>
    <xf numFmtId="0" fontId="157" fillId="0" borderId="0" xfId="0" applyFont="1" applyAlignment="1">
      <alignment horizontal="left"/>
    </xf>
    <xf numFmtId="0" fontId="152" fillId="0" borderId="0" xfId="0" applyFont="1" applyAlignment="1">
      <alignment horizontal="center" vertical="center" textRotation="90" wrapText="1"/>
    </xf>
    <xf numFmtId="1" fontId="152" fillId="0" borderId="0" xfId="0" applyNumberFormat="1" applyFont="1" applyAlignment="1">
      <alignment horizontal="left" vertical="center" wrapText="1"/>
    </xf>
    <xf numFmtId="1" fontId="157" fillId="0" borderId="0" xfId="0" applyNumberFormat="1" applyFont="1" applyAlignment="1">
      <alignment horizontal="left" vertical="center" wrapText="1"/>
    </xf>
    <xf numFmtId="0" fontId="157" fillId="0" borderId="0" xfId="0" applyFont="1" applyAlignment="1">
      <alignment horizontal="left" vertical="center" indent="1"/>
    </xf>
    <xf numFmtId="0" fontId="162" fillId="0" borderId="0" xfId="0" applyFont="1"/>
    <xf numFmtId="166" fontId="110" fillId="0" borderId="0" xfId="1" applyNumberFormat="1" applyFont="1" applyAlignment="1">
      <alignment horizontal="left"/>
    </xf>
    <xf numFmtId="0" fontId="108" fillId="0" borderId="0" xfId="0" applyFont="1" applyAlignment="1">
      <alignment horizontal="left" vertical="top"/>
    </xf>
    <xf numFmtId="0" fontId="163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64" fillId="0" borderId="0" xfId="0" applyFont="1" applyAlignment="1">
      <alignment horizontal="left" vertical="center"/>
    </xf>
    <xf numFmtId="0" fontId="166" fillId="0" borderId="0" xfId="0" applyFont="1"/>
    <xf numFmtId="0" fontId="166" fillId="0" borderId="0" xfId="0" applyFont="1" applyAlignment="1">
      <alignment horizontal="left"/>
    </xf>
    <xf numFmtId="0" fontId="157" fillId="0" borderId="0" xfId="0" applyFont="1" applyAlignment="1">
      <alignment horizontal="center" vertical="top"/>
    </xf>
    <xf numFmtId="0" fontId="120" fillId="0" borderId="0" xfId="0" applyFont="1"/>
    <xf numFmtId="0" fontId="167" fillId="0" borderId="0" xfId="0" applyFont="1"/>
    <xf numFmtId="0" fontId="139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178" fillId="0" borderId="0" xfId="0" applyFont="1" applyAlignment="1">
      <alignment horizontal="left" vertical="top"/>
    </xf>
    <xf numFmtId="0" fontId="126" fillId="0" borderId="0" xfId="0" applyFont="1"/>
    <xf numFmtId="0" fontId="139" fillId="0" borderId="0" xfId="0" applyFont="1"/>
    <xf numFmtId="49" fontId="126" fillId="0" borderId="0" xfId="0" applyNumberFormat="1" applyFont="1" applyAlignment="1">
      <alignment vertical="center"/>
    </xf>
    <xf numFmtId="0" fontId="179" fillId="0" borderId="0" xfId="0" applyFont="1"/>
    <xf numFmtId="0" fontId="170" fillId="0" borderId="0" xfId="0" applyFont="1" applyAlignment="1">
      <alignment vertical="center" textRotation="90"/>
    </xf>
    <xf numFmtId="1" fontId="131" fillId="0" borderId="0" xfId="0" applyNumberFormat="1" applyFont="1" applyAlignment="1">
      <alignment vertical="center"/>
    </xf>
    <xf numFmtId="0" fontId="134" fillId="0" borderId="0" xfId="0" applyFont="1" applyAlignment="1">
      <alignment vertical="center"/>
    </xf>
    <xf numFmtId="0" fontId="126" fillId="0" borderId="0" xfId="0" applyFont="1" applyAlignment="1">
      <alignment horizontal="left" vertical="center" indent="1"/>
    </xf>
    <xf numFmtId="3" fontId="126" fillId="0" borderId="0" xfId="1" applyNumberFormat="1" applyFont="1" applyAlignment="1">
      <alignment horizontal="right" vertical="center"/>
    </xf>
    <xf numFmtId="0" fontId="187" fillId="0" borderId="0" xfId="1" applyNumberFormat="1" applyFont="1" applyAlignment="1">
      <alignment horizontal="left"/>
    </xf>
    <xf numFmtId="0" fontId="142" fillId="0" borderId="0" xfId="12" applyFont="1" applyAlignment="1">
      <alignment vertical="center"/>
    </xf>
    <xf numFmtId="0" fontId="187" fillId="0" borderId="0" xfId="12" applyFont="1" applyAlignment="1">
      <alignment horizontal="center" vertical="center"/>
    </xf>
    <xf numFmtId="0" fontId="189" fillId="0" borderId="0" xfId="0" applyFont="1" applyAlignment="1">
      <alignment horizontal="left"/>
    </xf>
    <xf numFmtId="0" fontId="142" fillId="0" borderId="0" xfId="12" applyFont="1" applyAlignment="1">
      <alignment horizontal="left" vertical="center"/>
    </xf>
    <xf numFmtId="0" fontId="142" fillId="0" borderId="0" xfId="12" applyFont="1" applyAlignment="1">
      <alignment horizontal="right" vertical="center"/>
    </xf>
    <xf numFmtId="0" fontId="187" fillId="0" borderId="0" xfId="12" applyFont="1" applyAlignment="1">
      <alignment horizontal="left" vertical="center"/>
    </xf>
    <xf numFmtId="0" fontId="187" fillId="0" borderId="0" xfId="12" applyFont="1" applyAlignment="1">
      <alignment horizontal="right" vertical="center"/>
    </xf>
    <xf numFmtId="0" fontId="189" fillId="0" borderId="0" xfId="0" applyFont="1" applyAlignment="1">
      <alignment horizontal="right"/>
    </xf>
    <xf numFmtId="0" fontId="142" fillId="0" borderId="0" xfId="12" applyFont="1" applyAlignment="1">
      <alignment horizontal="left" vertical="top"/>
    </xf>
    <xf numFmtId="0" fontId="187" fillId="0" borderId="0" xfId="2" applyNumberFormat="1" applyFont="1" applyAlignment="1">
      <alignment horizontal="left" vertical="center"/>
    </xf>
    <xf numFmtId="0" fontId="108" fillId="0" borderId="0" xfId="12" applyFont="1" applyAlignment="1">
      <alignment horizontal="left" vertical="center"/>
    </xf>
    <xf numFmtId="0" fontId="108" fillId="0" borderId="0" xfId="12" applyFont="1" applyAlignment="1">
      <alignment horizontal="right" vertical="center"/>
    </xf>
    <xf numFmtId="0" fontId="108" fillId="0" borderId="0" xfId="12" applyFont="1" applyAlignment="1">
      <alignment horizontal="center" vertical="center"/>
    </xf>
    <xf numFmtId="0" fontId="108" fillId="0" borderId="0" xfId="12" applyFont="1" applyAlignment="1">
      <alignment vertical="center"/>
    </xf>
    <xf numFmtId="0" fontId="108" fillId="0" borderId="0" xfId="12" applyFont="1" applyAlignment="1">
      <alignment horizontal="center" vertical="center" wrapText="1"/>
    </xf>
    <xf numFmtId="0" fontId="181" fillId="0" borderId="0" xfId="12" applyFont="1" applyAlignment="1">
      <alignment horizontal="left" vertical="center"/>
    </xf>
    <xf numFmtId="0" fontId="190" fillId="0" borderId="0" xfId="12" applyFont="1" applyAlignment="1">
      <alignment horizontal="left" vertical="center"/>
    </xf>
    <xf numFmtId="0" fontId="191" fillId="0" borderId="0" xfId="12" applyFont="1" applyAlignment="1">
      <alignment vertical="center"/>
    </xf>
    <xf numFmtId="3" fontId="108" fillId="0" borderId="0" xfId="12" applyNumberFormat="1" applyFont="1" applyAlignment="1">
      <alignment horizontal="center" vertical="center"/>
    </xf>
    <xf numFmtId="14" fontId="116" fillId="0" borderId="0" xfId="12" applyNumberFormat="1" applyFont="1" applyAlignment="1">
      <alignment horizontal="center" vertical="center"/>
    </xf>
    <xf numFmtId="0" fontId="116" fillId="0" borderId="0" xfId="12" applyFont="1" applyAlignment="1">
      <alignment vertical="center"/>
    </xf>
    <xf numFmtId="0" fontId="187" fillId="0" borderId="0" xfId="2" applyNumberFormat="1" applyFont="1" applyAlignment="1">
      <alignment horizontal="right" vertical="center"/>
    </xf>
    <xf numFmtId="0" fontId="189" fillId="0" borderId="0" xfId="0" applyFont="1" applyAlignment="1">
      <alignment horizontal="left" vertical="top"/>
    </xf>
    <xf numFmtId="0" fontId="108" fillId="0" borderId="0" xfId="12" applyFont="1" applyAlignment="1">
      <alignment horizontal="left" vertical="top"/>
    </xf>
    <xf numFmtId="0" fontId="108" fillId="0" borderId="0" xfId="12" applyFont="1" applyAlignment="1">
      <alignment horizontal="center" vertical="top"/>
    </xf>
    <xf numFmtId="0" fontId="178" fillId="0" borderId="0" xfId="12" applyFont="1" applyAlignment="1">
      <alignment horizontal="center" vertical="top"/>
    </xf>
    <xf numFmtId="0" fontId="108" fillId="0" borderId="0" xfId="12" applyFont="1" applyAlignment="1">
      <alignment vertical="top"/>
    </xf>
    <xf numFmtId="0" fontId="116" fillId="0" borderId="0" xfId="12" applyFont="1" applyAlignment="1">
      <alignment vertical="top"/>
    </xf>
    <xf numFmtId="0" fontId="178" fillId="0" borderId="0" xfId="12" applyFont="1" applyAlignment="1">
      <alignment horizontal="center" vertical="center"/>
    </xf>
    <xf numFmtId="0" fontId="150" fillId="0" borderId="0" xfId="12" applyFont="1" applyAlignment="1">
      <alignment horizontal="left" vertical="center"/>
    </xf>
    <xf numFmtId="0" fontId="181" fillId="0" borderId="0" xfId="12" applyFont="1"/>
    <xf numFmtId="0" fontId="193" fillId="0" borderId="0" xfId="12" applyFont="1" applyAlignment="1">
      <alignment horizontal="right"/>
    </xf>
    <xf numFmtId="0" fontId="195" fillId="0" borderId="0" xfId="12" applyFont="1"/>
    <xf numFmtId="0" fontId="170" fillId="0" borderId="0" xfId="12" applyFont="1" applyAlignment="1">
      <alignment horizontal="center" vertical="center" textRotation="90" wrapText="1"/>
    </xf>
    <xf numFmtId="0" fontId="178" fillId="0" borderId="0" xfId="12" applyFont="1" applyAlignment="1">
      <alignment horizontal="left" vertical="center"/>
    </xf>
    <xf numFmtId="0" fontId="171" fillId="0" borderId="0" xfId="12" applyFont="1"/>
    <xf numFmtId="0" fontId="196" fillId="0" borderId="0" xfId="9" applyFont="1" applyAlignment="1">
      <alignment vertical="center"/>
    </xf>
    <xf numFmtId="0" fontId="108" fillId="0" borderId="0" xfId="9" applyFont="1"/>
    <xf numFmtId="0" fontId="197" fillId="0" borderId="0" xfId="9" applyFont="1" applyAlignment="1">
      <alignment vertical="center"/>
    </xf>
    <xf numFmtId="0" fontId="178" fillId="0" borderId="0" xfId="9" applyFont="1"/>
    <xf numFmtId="0" fontId="108" fillId="0" borderId="0" xfId="9" applyFont="1" applyAlignment="1">
      <alignment horizontal="right"/>
    </xf>
    <xf numFmtId="0" fontId="169" fillId="0" borderId="0" xfId="9" applyFont="1" applyAlignment="1">
      <alignment horizontal="left" vertical="top"/>
    </xf>
    <xf numFmtId="0" fontId="188" fillId="0" borderId="0" xfId="9" applyFont="1"/>
    <xf numFmtId="0" fontId="169" fillId="0" borderId="0" xfId="9" applyFont="1"/>
    <xf numFmtId="0" fontId="178" fillId="0" borderId="0" xfId="9" applyFont="1" applyAlignment="1">
      <alignment vertical="center"/>
    </xf>
    <xf numFmtId="0" fontId="179" fillId="0" borderId="0" xfId="9" applyFont="1" applyAlignment="1">
      <alignment vertical="center"/>
    </xf>
    <xf numFmtId="0" fontId="169" fillId="0" borderId="0" xfId="9" applyFont="1" applyAlignment="1">
      <alignment horizontal="center"/>
    </xf>
    <xf numFmtId="0" fontId="181" fillId="0" borderId="0" xfId="9" applyFont="1" applyAlignment="1">
      <alignment vertical="center"/>
    </xf>
    <xf numFmtId="0" fontId="108" fillId="0" borderId="0" xfId="9" applyFont="1" applyAlignment="1">
      <alignment horizontal="left"/>
    </xf>
    <xf numFmtId="0" fontId="194" fillId="0" borderId="0" xfId="9" applyFont="1" applyAlignment="1">
      <alignment horizontal="right" vertical="top"/>
    </xf>
    <xf numFmtId="0" fontId="181" fillId="0" borderId="0" xfId="9" applyFont="1"/>
    <xf numFmtId="3" fontId="181" fillId="0" borderId="0" xfId="9" applyNumberFormat="1" applyFont="1"/>
    <xf numFmtId="169" fontId="116" fillId="0" borderId="0" xfId="9" applyNumberFormat="1" applyFont="1" applyAlignment="1">
      <alignment horizontal="left"/>
    </xf>
    <xf numFmtId="0" fontId="116" fillId="0" borderId="0" xfId="9" applyFont="1" applyAlignment="1">
      <alignment horizontal="right"/>
    </xf>
    <xf numFmtId="0" fontId="108" fillId="0" borderId="0" xfId="9" applyFont="1" applyAlignment="1">
      <alignment horizontal="right" vertical="top"/>
    </xf>
    <xf numFmtId="0" fontId="117" fillId="0" borderId="0" xfId="9" applyFont="1"/>
    <xf numFmtId="0" fontId="116" fillId="0" borderId="0" xfId="9" applyFont="1" applyAlignment="1">
      <alignment horizontal="left" vertical="top"/>
    </xf>
    <xf numFmtId="0" fontId="120" fillId="0" borderId="0" xfId="9" applyFont="1"/>
    <xf numFmtId="0" fontId="108" fillId="0" borderId="0" xfId="9" applyFont="1" applyAlignment="1">
      <alignment vertical="top"/>
    </xf>
    <xf numFmtId="0" fontId="116" fillId="0" borderId="0" xfId="9" applyFont="1"/>
    <xf numFmtId="0" fontId="108" fillId="0" borderId="0" xfId="9" applyFont="1" applyAlignment="1">
      <alignment vertical="center"/>
    </xf>
    <xf numFmtId="0" fontId="198" fillId="0" borderId="0" xfId="9" applyFont="1"/>
    <xf numFmtId="0" fontId="198" fillId="0" borderId="0" xfId="9" applyFont="1" applyAlignment="1">
      <alignment vertical="top"/>
    </xf>
    <xf numFmtId="0" fontId="199" fillId="0" borderId="0" xfId="0" applyFont="1" applyAlignment="1">
      <alignment horizontal="left" vertical="center"/>
    </xf>
    <xf numFmtId="0" fontId="200" fillId="0" borderId="0" xfId="0" applyFont="1" applyAlignment="1">
      <alignment horizontal="left" vertical="center"/>
    </xf>
    <xf numFmtId="0" fontId="162" fillId="0" borderId="0" xfId="0" applyFont="1" applyAlignment="1">
      <alignment vertical="center"/>
    </xf>
    <xf numFmtId="0" fontId="200" fillId="0" borderId="0" xfId="0" applyFont="1" applyAlignment="1">
      <alignment vertical="center"/>
    </xf>
    <xf numFmtId="14" fontId="162" fillId="0" borderId="0" xfId="0" applyNumberFormat="1" applyFont="1" applyAlignment="1">
      <alignment horizontal="left" vertical="center"/>
    </xf>
    <xf numFmtId="0" fontId="121" fillId="0" borderId="0" xfId="0" applyFont="1" applyAlignment="1">
      <alignment vertical="center"/>
    </xf>
    <xf numFmtId="0" fontId="146" fillId="0" borderId="0" xfId="0" applyFont="1"/>
    <xf numFmtId="0" fontId="201" fillId="0" borderId="0" xfId="0" applyFont="1" applyAlignment="1">
      <alignment horizontal="left" vertical="center"/>
    </xf>
    <xf numFmtId="0" fontId="202" fillId="0" borderId="0" xfId="0" applyFont="1" applyAlignment="1">
      <alignment horizontal="center" vertical="center"/>
    </xf>
    <xf numFmtId="0" fontId="158" fillId="0" borderId="0" xfId="0" applyFont="1" applyAlignment="1">
      <alignment vertical="center"/>
    </xf>
    <xf numFmtId="0" fontId="203" fillId="0" borderId="0" xfId="0" applyFont="1" applyAlignment="1">
      <alignment horizontal="left" vertical="center"/>
    </xf>
    <xf numFmtId="14" fontId="199" fillId="0" borderId="0" xfId="0" applyNumberFormat="1" applyFont="1" applyAlignment="1">
      <alignment horizontal="center" vertical="center"/>
    </xf>
    <xf numFmtId="0" fontId="158" fillId="0" borderId="0" xfId="0" applyFont="1" applyAlignment="1">
      <alignment horizontal="left" vertical="top"/>
    </xf>
    <xf numFmtId="0" fontId="121" fillId="0" borderId="0" xfId="0" applyFont="1" applyAlignment="1">
      <alignment horizontal="left" vertical="top"/>
    </xf>
    <xf numFmtId="0" fontId="178" fillId="0" borderId="0" xfId="0" applyFont="1"/>
    <xf numFmtId="0" fontId="178" fillId="0" borderId="0" xfId="0" applyFont="1" applyAlignment="1">
      <alignment horizontal="left"/>
    </xf>
    <xf numFmtId="0" fontId="162" fillId="0" borderId="0" xfId="0" applyFont="1" applyAlignment="1">
      <alignment horizontal="left" vertical="top"/>
    </xf>
    <xf numFmtId="0" fontId="126" fillId="0" borderId="0" xfId="0" applyFont="1" applyAlignment="1">
      <alignment vertical="top"/>
    </xf>
    <xf numFmtId="0" fontId="157" fillId="0" borderId="0" xfId="0" applyFont="1" applyAlignment="1">
      <alignment horizontal="right"/>
    </xf>
    <xf numFmtId="0" fontId="127" fillId="0" borderId="0" xfId="0" applyFont="1" applyAlignment="1">
      <alignment horizontal="right"/>
    </xf>
    <xf numFmtId="49" fontId="113" fillId="0" borderId="0" xfId="0" applyNumberFormat="1" applyFont="1" applyAlignment="1" applyProtection="1">
      <alignment horizontal="left" vertical="center"/>
      <protection locked="0"/>
    </xf>
    <xf numFmtId="0" fontId="145" fillId="0" borderId="0" xfId="4" applyNumberFormat="1" applyFont="1" applyAlignment="1">
      <alignment horizontal="left"/>
    </xf>
    <xf numFmtId="0" fontId="204" fillId="0" borderId="0" xfId="9" applyFont="1"/>
    <xf numFmtId="0" fontId="139" fillId="0" borderId="0" xfId="9" applyFont="1" applyAlignment="1">
      <alignment horizontal="left"/>
    </xf>
    <xf numFmtId="0" fontId="145" fillId="0" borderId="0" xfId="9" applyFont="1" applyAlignment="1">
      <alignment horizontal="right"/>
    </xf>
    <xf numFmtId="0" fontId="204" fillId="0" borderId="0" xfId="9" applyFont="1" applyAlignment="1">
      <alignment vertical="top"/>
    </xf>
    <xf numFmtId="0" fontId="170" fillId="0" borderId="0" xfId="9" applyFont="1" applyAlignment="1">
      <alignment horizontal="left"/>
    </xf>
    <xf numFmtId="0" fontId="139" fillId="0" borderId="0" xfId="9" applyFont="1" applyAlignment="1">
      <alignment horizontal="left" vertical="top"/>
    </xf>
    <xf numFmtId="0" fontId="145" fillId="0" borderId="0" xfId="4" applyNumberFormat="1" applyFont="1" applyAlignment="1">
      <alignment horizontal="right"/>
    </xf>
    <xf numFmtId="0" fontId="145" fillId="0" borderId="0" xfId="4" applyNumberFormat="1" applyFont="1" applyAlignment="1">
      <alignment horizontal="center" vertical="top"/>
    </xf>
    <xf numFmtId="0" fontId="140" fillId="0" borderId="0" xfId="9" applyFont="1" applyAlignment="1">
      <alignment vertical="top"/>
    </xf>
    <xf numFmtId="0" fontId="145" fillId="0" borderId="0" xfId="4" applyNumberFormat="1" applyFont="1" applyAlignment="1">
      <alignment vertical="top" wrapText="1"/>
    </xf>
    <xf numFmtId="0" fontId="140" fillId="0" borderId="0" xfId="9" applyFont="1"/>
    <xf numFmtId="0" fontId="145" fillId="0" borderId="0" xfId="4" applyNumberFormat="1" applyFont="1"/>
    <xf numFmtId="0" fontId="206" fillId="0" borderId="0" xfId="0" applyFont="1" applyAlignment="1">
      <alignment vertical="center"/>
    </xf>
    <xf numFmtId="0" fontId="206" fillId="0" borderId="77" xfId="0" applyFont="1" applyBorder="1" applyAlignment="1">
      <alignment vertical="center"/>
    </xf>
    <xf numFmtId="0" fontId="206" fillId="0" borderId="0" xfId="0" applyFont="1" applyAlignment="1">
      <alignment horizontal="left" vertical="center"/>
    </xf>
    <xf numFmtId="0" fontId="119" fillId="0" borderId="80" xfId="0" applyFont="1" applyBorder="1" applyAlignment="1">
      <alignment horizontal="left" vertical="top"/>
    </xf>
    <xf numFmtId="49" fontId="206" fillId="0" borderId="0" xfId="0" applyNumberFormat="1" applyFont="1" applyAlignment="1">
      <alignment horizontal="left"/>
    </xf>
    <xf numFmtId="49" fontId="117" fillId="0" borderId="80" xfId="0" applyNumberFormat="1" applyFont="1" applyBorder="1" applyAlignment="1">
      <alignment horizontal="left" vertical="center"/>
    </xf>
    <xf numFmtId="0" fontId="106" fillId="0" borderId="80" xfId="0" applyFont="1" applyBorder="1"/>
    <xf numFmtId="0" fontId="206" fillId="0" borderId="79" xfId="0" applyFont="1" applyBorder="1" applyAlignment="1">
      <alignment horizontal="left" vertical="center"/>
    </xf>
    <xf numFmtId="0" fontId="212" fillId="0" borderId="0" xfId="9" applyFont="1" applyAlignment="1">
      <alignment horizontal="left" vertical="top"/>
    </xf>
    <xf numFmtId="0" fontId="212" fillId="0" borderId="0" xfId="9" applyFont="1" applyAlignment="1">
      <alignment horizontal="right" vertical="top"/>
    </xf>
    <xf numFmtId="0" fontId="212" fillId="0" borderId="0" xfId="9" applyFont="1" applyAlignment="1">
      <alignment horizontal="right" vertical="center"/>
    </xf>
    <xf numFmtId="0" fontId="213" fillId="0" borderId="0" xfId="9" applyFont="1" applyAlignment="1">
      <alignment vertical="center"/>
    </xf>
    <xf numFmtId="0" fontId="212" fillId="0" borderId="0" xfId="9" applyFont="1" applyAlignment="1">
      <alignment vertical="center"/>
    </xf>
    <xf numFmtId="169" fontId="215" fillId="0" borderId="0" xfId="9" applyNumberFormat="1" applyFont="1" applyAlignment="1">
      <alignment horizontal="left"/>
    </xf>
    <xf numFmtId="3" fontId="212" fillId="0" borderId="0" xfId="4" quotePrefix="1" applyNumberFormat="1" applyFont="1" applyAlignment="1">
      <alignment horizontal="right"/>
    </xf>
    <xf numFmtId="49" fontId="138" fillId="9" borderId="0" xfId="9" applyNumberFormat="1" applyFont="1" applyFill="1" applyAlignment="1">
      <alignment horizontal="center" vertical="center"/>
    </xf>
    <xf numFmtId="0" fontId="138" fillId="9" borderId="0" xfId="9" applyFont="1" applyFill="1" applyAlignment="1">
      <alignment horizontal="center" vertical="center" wrapText="1"/>
    </xf>
    <xf numFmtId="49" fontId="138" fillId="9" borderId="0" xfId="9" applyNumberFormat="1" applyFont="1" applyFill="1" applyAlignment="1">
      <alignment horizontal="center" vertical="center" wrapText="1"/>
    </xf>
    <xf numFmtId="0" fontId="138" fillId="9" borderId="0" xfId="9" applyFont="1" applyFill="1" applyAlignment="1">
      <alignment horizontal="left" vertical="center" wrapText="1"/>
    </xf>
    <xf numFmtId="0" fontId="135" fillId="9" borderId="0" xfId="9" applyFont="1" applyFill="1" applyAlignment="1">
      <alignment horizontal="center" vertical="center" wrapText="1"/>
    </xf>
    <xf numFmtId="49" fontId="135" fillId="9" borderId="0" xfId="9" applyNumberFormat="1" applyFont="1" applyFill="1" applyAlignment="1">
      <alignment horizontal="center" vertical="center" wrapText="1"/>
    </xf>
    <xf numFmtId="3" fontId="135" fillId="9" borderId="0" xfId="9" applyNumberFormat="1" applyFont="1" applyFill="1" applyAlignment="1">
      <alignment horizontal="right" vertical="center" wrapText="1"/>
    </xf>
    <xf numFmtId="3" fontId="138" fillId="9" borderId="0" xfId="9" applyNumberFormat="1" applyFont="1" applyFill="1" applyAlignment="1">
      <alignment horizontal="right" vertical="center" wrapText="1"/>
    </xf>
    <xf numFmtId="0" fontId="217" fillId="0" borderId="0" xfId="9" applyFont="1" applyAlignment="1">
      <alignment vertical="center"/>
    </xf>
    <xf numFmtId="0" fontId="217" fillId="0" borderId="0" xfId="9" applyFont="1" applyAlignment="1">
      <alignment horizontal="center" vertical="center"/>
    </xf>
    <xf numFmtId="0" fontId="145" fillId="0" borderId="0" xfId="9" applyFont="1" applyAlignment="1">
      <alignment horizontal="right" vertical="center"/>
    </xf>
    <xf numFmtId="0" fontId="204" fillId="0" borderId="0" xfId="9" applyFont="1" applyAlignment="1">
      <alignment vertical="center"/>
    </xf>
    <xf numFmtId="0" fontId="170" fillId="0" borderId="0" xfId="9" applyFont="1" applyAlignment="1">
      <alignment horizontal="center" vertical="center"/>
    </xf>
    <xf numFmtId="0" fontId="139" fillId="0" borderId="0" xfId="9" applyFont="1" applyAlignment="1">
      <alignment horizontal="left" vertical="center"/>
    </xf>
    <xf numFmtId="0" fontId="145" fillId="0" borderId="0" xfId="9" applyFont="1" applyAlignment="1">
      <alignment horizontal="center" vertical="center"/>
    </xf>
    <xf numFmtId="0" fontId="215" fillId="0" borderId="0" xfId="9" applyFont="1" applyAlignment="1">
      <alignment horizontal="center" vertical="center"/>
    </xf>
    <xf numFmtId="49" fontId="136" fillId="9" borderId="0" xfId="9" applyNumberFormat="1" applyFont="1" applyFill="1" applyAlignment="1">
      <alignment horizontal="center" vertical="center"/>
    </xf>
    <xf numFmtId="0" fontId="136" fillId="9" borderId="0" xfId="9" applyFont="1" applyFill="1" applyAlignment="1">
      <alignment horizontal="left" vertical="center"/>
    </xf>
    <xf numFmtId="49" fontId="144" fillId="9" borderId="86" xfId="9" applyNumberFormat="1" applyFont="1" applyFill="1" applyBorder="1" applyAlignment="1">
      <alignment horizontal="center" vertical="center" wrapText="1"/>
    </xf>
    <xf numFmtId="49" fontId="216" fillId="9" borderId="86" xfId="9" applyNumberFormat="1" applyFont="1" applyFill="1" applyBorder="1" applyAlignment="1">
      <alignment horizontal="center" vertical="center"/>
    </xf>
    <xf numFmtId="0" fontId="216" fillId="9" borderId="90" xfId="9" applyFont="1" applyFill="1" applyBorder="1" applyAlignment="1">
      <alignment horizontal="center" vertical="center" wrapText="1"/>
    </xf>
    <xf numFmtId="3" fontId="138" fillId="9" borderId="90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0" xfId="9" applyNumberFormat="1" applyFont="1" applyFill="1" applyBorder="1" applyAlignment="1">
      <alignment horizontal="right" vertical="center" wrapText="1"/>
    </xf>
    <xf numFmtId="3" fontId="138" fillId="9" borderId="91" xfId="9" applyNumberFormat="1" applyFont="1" applyFill="1" applyBorder="1" applyAlignment="1">
      <alignment horizontal="right" vertical="center" wrapText="1"/>
    </xf>
    <xf numFmtId="49" fontId="144" fillId="9" borderId="85" xfId="9" applyNumberFormat="1" applyFont="1" applyFill="1" applyBorder="1" applyAlignment="1">
      <alignment horizontal="center" vertical="center" wrapText="1"/>
    </xf>
    <xf numFmtId="49" fontId="216" fillId="9" borderId="85" xfId="9" applyNumberFormat="1" applyFont="1" applyFill="1" applyBorder="1" applyAlignment="1">
      <alignment horizontal="center" vertical="center"/>
    </xf>
    <xf numFmtId="49" fontId="138" fillId="9" borderId="85" xfId="9" applyNumberFormat="1" applyFont="1" applyFill="1" applyBorder="1" applyAlignment="1">
      <alignment horizontal="center" vertical="center"/>
    </xf>
    <xf numFmtId="49" fontId="138" fillId="9" borderId="92" xfId="9" applyNumberFormat="1" applyFont="1" applyFill="1" applyBorder="1" applyAlignment="1">
      <alignment horizontal="center" vertical="center"/>
    </xf>
    <xf numFmtId="0" fontId="144" fillId="9" borderId="85" xfId="9" applyFont="1" applyFill="1" applyBorder="1" applyAlignment="1">
      <alignment horizontal="center" vertical="center"/>
    </xf>
    <xf numFmtId="0" fontId="216" fillId="9" borderId="85" xfId="9" applyFont="1" applyFill="1" applyBorder="1" applyAlignment="1">
      <alignment horizontal="center" vertical="center"/>
    </xf>
    <xf numFmtId="0" fontId="144" fillId="9" borderId="85" xfId="9" applyFont="1" applyFill="1" applyBorder="1" applyAlignment="1">
      <alignment horizontal="left" vertical="center" wrapText="1"/>
    </xf>
    <xf numFmtId="0" fontId="138" fillId="9" borderId="85" xfId="9" applyFont="1" applyFill="1" applyBorder="1" applyAlignment="1">
      <alignment horizontal="left" vertical="center" wrapText="1"/>
    </xf>
    <xf numFmtId="0" fontId="138" fillId="9" borderId="85" xfId="9" applyFont="1" applyFill="1" applyBorder="1" applyAlignment="1">
      <alignment horizontal="left" vertical="center" indent="1"/>
    </xf>
    <xf numFmtId="0" fontId="138" fillId="9" borderId="92" xfId="9" applyFont="1" applyFill="1" applyBorder="1" applyAlignment="1">
      <alignment horizontal="left" vertical="center"/>
    </xf>
    <xf numFmtId="0" fontId="138" fillId="9" borderId="92" xfId="9" applyFont="1" applyFill="1" applyBorder="1" applyAlignment="1">
      <alignment horizontal="left" vertical="center" indent="1"/>
    </xf>
    <xf numFmtId="0" fontId="144" fillId="9" borderId="92" xfId="9" applyFont="1" applyFill="1" applyBorder="1" applyAlignment="1">
      <alignment horizontal="left" vertical="center"/>
    </xf>
    <xf numFmtId="0" fontId="144" fillId="9" borderId="85" xfId="9" applyFont="1" applyFill="1" applyBorder="1" applyAlignment="1">
      <alignment horizontal="left" vertical="center"/>
    </xf>
    <xf numFmtId="0" fontId="144" fillId="9" borderId="85" xfId="9" applyFont="1" applyFill="1" applyBorder="1" applyAlignment="1">
      <alignment horizontal="center" vertical="center" wrapText="1"/>
    </xf>
    <xf numFmtId="0" fontId="216" fillId="9" borderId="85" xfId="9" applyFont="1" applyFill="1" applyBorder="1" applyAlignment="1">
      <alignment horizontal="center" vertical="center" wrapText="1"/>
    </xf>
    <xf numFmtId="0" fontId="138" fillId="9" borderId="85" xfId="9" applyFont="1" applyFill="1" applyBorder="1" applyAlignment="1">
      <alignment horizontal="center" vertical="center" wrapText="1"/>
    </xf>
    <xf numFmtId="0" fontId="138" fillId="9" borderId="92" xfId="9" applyFont="1" applyFill="1" applyBorder="1" applyAlignment="1">
      <alignment horizontal="center" vertical="center" wrapText="1"/>
    </xf>
    <xf numFmtId="3" fontId="138" fillId="9" borderId="85" xfId="9" applyNumberFormat="1" applyFont="1" applyFill="1" applyBorder="1" applyAlignment="1">
      <alignment horizontal="right" vertical="center" wrapText="1"/>
    </xf>
    <xf numFmtId="3" fontId="138" fillId="9" borderId="85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2" xfId="9" applyNumberFormat="1" applyFont="1" applyFill="1" applyBorder="1" applyAlignment="1">
      <alignment horizontal="right" vertical="center" wrapText="1"/>
    </xf>
    <xf numFmtId="3" fontId="138" fillId="9" borderId="92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5" xfId="9" applyNumberFormat="1" applyFont="1" applyFill="1" applyBorder="1" applyAlignment="1" applyProtection="1">
      <alignment horizontal="right" vertical="center" wrapText="1"/>
      <protection locked="0"/>
    </xf>
    <xf numFmtId="49" fontId="144" fillId="9" borderId="85" xfId="9" applyNumberFormat="1" applyFont="1" applyFill="1" applyBorder="1" applyAlignment="1">
      <alignment horizontal="center" vertical="center"/>
    </xf>
    <xf numFmtId="49" fontId="138" fillId="9" borderId="96" xfId="9" applyNumberFormat="1" applyFont="1" applyFill="1" applyBorder="1" applyAlignment="1">
      <alignment horizontal="center" vertical="center"/>
    </xf>
    <xf numFmtId="49" fontId="144" fillId="9" borderId="96" xfId="9" applyNumberFormat="1" applyFont="1" applyFill="1" applyBorder="1" applyAlignment="1">
      <alignment horizontal="center" vertical="center"/>
    </xf>
    <xf numFmtId="0" fontId="138" fillId="9" borderId="85" xfId="9" applyFont="1" applyFill="1" applyBorder="1" applyAlignment="1">
      <alignment horizontal="left" vertical="center" wrapText="1" indent="1"/>
    </xf>
    <xf numFmtId="0" fontId="138" fillId="9" borderId="96" xfId="9" applyFont="1" applyFill="1" applyBorder="1" applyAlignment="1">
      <alignment horizontal="left" vertical="center" wrapText="1"/>
    </xf>
    <xf numFmtId="0" fontId="138" fillId="9" borderId="85" xfId="9" applyFont="1" applyFill="1" applyBorder="1" applyAlignment="1">
      <alignment vertical="center" wrapText="1"/>
    </xf>
    <xf numFmtId="0" fontId="144" fillId="9" borderId="96" xfId="9" applyFont="1" applyFill="1" applyBorder="1" applyAlignment="1">
      <alignment vertical="center" wrapText="1"/>
    </xf>
    <xf numFmtId="0" fontId="144" fillId="9" borderId="85" xfId="9" applyFont="1" applyFill="1" applyBorder="1" applyAlignment="1">
      <alignment vertical="center" wrapText="1"/>
    </xf>
    <xf numFmtId="0" fontId="138" fillId="9" borderId="85" xfId="9" applyFont="1" applyFill="1" applyBorder="1" applyAlignment="1">
      <alignment horizontal="left" vertical="center"/>
    </xf>
    <xf numFmtId="0" fontId="138" fillId="9" borderId="96" xfId="9" applyFont="1" applyFill="1" applyBorder="1" applyAlignment="1">
      <alignment horizontal="left" vertical="center"/>
    </xf>
    <xf numFmtId="0" fontId="138" fillId="9" borderId="92" xfId="9" applyFont="1" applyFill="1" applyBorder="1" applyAlignment="1">
      <alignment horizontal="left" vertical="center" wrapText="1" indent="1"/>
    </xf>
    <xf numFmtId="0" fontId="138" fillId="9" borderId="96" xfId="9" applyFont="1" applyFill="1" applyBorder="1" applyAlignment="1">
      <alignment horizontal="center" vertical="center" wrapText="1"/>
    </xf>
    <xf numFmtId="0" fontId="135" fillId="9" borderId="85" xfId="9" applyFont="1" applyFill="1" applyBorder="1" applyAlignment="1">
      <alignment horizontal="center" vertical="center" wrapText="1"/>
    </xf>
    <xf numFmtId="0" fontId="135" fillId="9" borderId="92" xfId="9" applyFont="1" applyFill="1" applyBorder="1" applyAlignment="1">
      <alignment horizontal="center" vertical="center" wrapText="1"/>
    </xf>
    <xf numFmtId="49" fontId="138" fillId="9" borderId="85" xfId="9" applyNumberFormat="1" applyFont="1" applyFill="1" applyBorder="1" applyAlignment="1">
      <alignment horizontal="center" vertical="center" wrapText="1"/>
    </xf>
    <xf numFmtId="49" fontId="138" fillId="9" borderId="96" xfId="9" applyNumberFormat="1" applyFont="1" applyFill="1" applyBorder="1" applyAlignment="1">
      <alignment horizontal="center" vertical="center" wrapText="1"/>
    </xf>
    <xf numFmtId="49" fontId="138" fillId="9" borderId="92" xfId="9" applyNumberFormat="1" applyFont="1" applyFill="1" applyBorder="1" applyAlignment="1">
      <alignment horizontal="center" vertical="center" wrapText="1"/>
    </xf>
    <xf numFmtId="3" fontId="138" fillId="9" borderId="96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6" xfId="9" applyNumberFormat="1" applyFont="1" applyFill="1" applyBorder="1" applyAlignment="1">
      <alignment horizontal="right" vertical="center" wrapText="1"/>
    </xf>
    <xf numFmtId="49" fontId="139" fillId="7" borderId="86" xfId="9" applyNumberFormat="1" applyFont="1" applyFill="1" applyBorder="1" applyAlignment="1">
      <alignment horizontal="center" vertical="center"/>
    </xf>
    <xf numFmtId="49" fontId="139" fillId="7" borderId="85" xfId="9" applyNumberFormat="1" applyFont="1" applyFill="1" applyBorder="1" applyAlignment="1">
      <alignment horizontal="center" vertical="center"/>
    </xf>
    <xf numFmtId="0" fontId="138" fillId="10" borderId="85" xfId="9" applyFont="1" applyFill="1" applyBorder="1" applyAlignment="1">
      <alignment vertical="center" wrapText="1"/>
    </xf>
    <xf numFmtId="49" fontId="139" fillId="7" borderId="85" xfId="0" applyNumberFormat="1" applyFont="1" applyFill="1" applyBorder="1" applyAlignment="1">
      <alignment horizontal="left" wrapText="1"/>
    </xf>
    <xf numFmtId="3" fontId="214" fillId="0" borderId="0" xfId="4" quotePrefix="1" applyNumberFormat="1" applyFont="1" applyAlignment="1">
      <alignment horizontal="left" vertical="center"/>
    </xf>
    <xf numFmtId="2" fontId="215" fillId="0" borderId="0" xfId="9" applyNumberFormat="1" applyFont="1" applyAlignment="1">
      <alignment horizontal="left"/>
    </xf>
    <xf numFmtId="0" fontId="144" fillId="0" borderId="90" xfId="9" applyFont="1" applyBorder="1" applyAlignment="1">
      <alignment horizontal="center" vertical="center" wrapText="1"/>
    </xf>
    <xf numFmtId="3" fontId="138" fillId="9" borderId="97" xfId="9" applyNumberFormat="1" applyFont="1" applyFill="1" applyBorder="1" applyAlignment="1" applyProtection="1">
      <alignment horizontal="right" vertical="center" wrapText="1"/>
      <protection locked="0"/>
    </xf>
    <xf numFmtId="49" fontId="144" fillId="9" borderId="96" xfId="9" applyNumberFormat="1" applyFont="1" applyFill="1" applyBorder="1" applyAlignment="1">
      <alignment horizontal="center" vertical="center" wrapText="1"/>
    </xf>
    <xf numFmtId="49" fontId="139" fillId="7" borderId="98" xfId="0" applyNumberFormat="1" applyFont="1" applyFill="1" applyBorder="1" applyAlignment="1">
      <alignment horizontal="center"/>
    </xf>
    <xf numFmtId="49" fontId="139" fillId="7" borderId="99" xfId="0" applyNumberFormat="1" applyFont="1" applyFill="1" applyBorder="1" applyAlignment="1">
      <alignment horizontal="center"/>
    </xf>
    <xf numFmtId="49" fontId="139" fillId="7" borderId="99" xfId="0" applyNumberFormat="1" applyFont="1" applyFill="1" applyBorder="1" applyAlignment="1">
      <alignment horizontal="center" wrapText="1"/>
    </xf>
    <xf numFmtId="49" fontId="145" fillId="7" borderId="99" xfId="0" applyNumberFormat="1" applyFont="1" applyFill="1" applyBorder="1" applyAlignment="1">
      <alignment horizontal="center" wrapText="1"/>
    </xf>
    <xf numFmtId="49" fontId="139" fillId="7" borderId="100" xfId="0" applyNumberFormat="1" applyFont="1" applyFill="1" applyBorder="1" applyAlignment="1">
      <alignment horizontal="center" wrapText="1"/>
    </xf>
    <xf numFmtId="0" fontId="144" fillId="9" borderId="96" xfId="9" applyFont="1" applyFill="1" applyBorder="1" applyAlignment="1">
      <alignment horizontal="center" vertical="center"/>
    </xf>
    <xf numFmtId="0" fontId="139" fillId="7" borderId="98" xfId="0" applyFont="1" applyFill="1" applyBorder="1" applyAlignment="1">
      <alignment horizontal="left" vertical="top" wrapText="1"/>
    </xf>
    <xf numFmtId="0" fontId="139" fillId="7" borderId="99" xfId="0" applyFont="1" applyFill="1" applyBorder="1" applyAlignment="1">
      <alignment horizontal="left" vertical="top" wrapText="1"/>
    </xf>
    <xf numFmtId="49" fontId="145" fillId="7" borderId="99" xfId="0" applyNumberFormat="1" applyFont="1" applyFill="1" applyBorder="1" applyAlignment="1">
      <alignment wrapText="1"/>
    </xf>
    <xf numFmtId="49" fontId="139" fillId="7" borderId="99" xfId="0" applyNumberFormat="1" applyFont="1" applyFill="1" applyBorder="1" applyAlignment="1">
      <alignment wrapText="1"/>
    </xf>
    <xf numFmtId="0" fontId="144" fillId="9" borderId="101" xfId="0" applyFont="1" applyFill="1" applyBorder="1" applyAlignment="1">
      <alignment horizontal="left" vertical="top" wrapText="1"/>
    </xf>
    <xf numFmtId="0" fontId="139" fillId="7" borderId="100" xfId="0" applyFont="1" applyFill="1" applyBorder="1" applyAlignment="1">
      <alignment horizontal="left" vertical="top" wrapText="1"/>
    </xf>
    <xf numFmtId="0" fontId="144" fillId="9" borderId="96" xfId="9" applyFont="1" applyFill="1" applyBorder="1" applyAlignment="1">
      <alignment horizontal="center" vertical="center" wrapText="1"/>
    </xf>
    <xf numFmtId="0" fontId="138" fillId="9" borderId="102" xfId="9" applyFont="1" applyFill="1" applyBorder="1" applyAlignment="1">
      <alignment horizontal="center" vertical="center" wrapText="1"/>
    </xf>
    <xf numFmtId="3" fontId="138" fillId="9" borderId="102" xfId="9" applyNumberFormat="1" applyFont="1" applyFill="1" applyBorder="1" applyAlignment="1" applyProtection="1">
      <alignment horizontal="right" vertical="center" wrapText="1"/>
      <protection locked="0"/>
    </xf>
    <xf numFmtId="0" fontId="144" fillId="0" borderId="96" xfId="9" applyFont="1" applyBorder="1" applyAlignment="1">
      <alignment horizontal="center" vertical="center" wrapText="1"/>
    </xf>
    <xf numFmtId="0" fontId="138" fillId="9" borderId="81" xfId="9" applyFont="1" applyFill="1" applyBorder="1" applyAlignment="1">
      <alignment horizontal="center" vertical="center" wrapText="1"/>
    </xf>
    <xf numFmtId="0" fontId="138" fillId="9" borderId="92" xfId="9" applyFont="1" applyFill="1" applyBorder="1" applyAlignment="1">
      <alignment horizontal="left" vertical="center" wrapText="1"/>
    </xf>
    <xf numFmtId="0" fontId="138" fillId="9" borderId="103" xfId="9" applyFont="1" applyFill="1" applyBorder="1" applyAlignment="1">
      <alignment horizontal="center" vertical="center" wrapText="1"/>
    </xf>
    <xf numFmtId="2" fontId="204" fillId="0" borderId="0" xfId="9" applyNumberFormat="1" applyFont="1" applyAlignment="1">
      <alignment vertical="center"/>
    </xf>
    <xf numFmtId="0" fontId="212" fillId="0" borderId="0" xfId="9" applyFont="1" applyAlignment="1">
      <alignment vertical="top"/>
    </xf>
    <xf numFmtId="0" fontId="212" fillId="0" borderId="0" xfId="9" applyFont="1" applyAlignment="1">
      <alignment horizontal="center" vertical="top"/>
    </xf>
    <xf numFmtId="0" fontId="212" fillId="0" borderId="0" xfId="9" applyFont="1" applyAlignment="1">
      <alignment horizontal="right" vertical="top" wrapText="1"/>
    </xf>
    <xf numFmtId="0" fontId="217" fillId="0" borderId="0" xfId="9" applyFont="1" applyAlignment="1">
      <alignment horizontal="center"/>
    </xf>
    <xf numFmtId="0" fontId="217" fillId="0" borderId="0" xfId="9" applyFont="1"/>
    <xf numFmtId="0" fontId="145" fillId="0" borderId="0" xfId="9" applyFont="1" applyAlignment="1">
      <alignment horizontal="center"/>
    </xf>
    <xf numFmtId="49" fontId="139" fillId="7" borderId="104" xfId="9" applyNumberFormat="1" applyFont="1" applyFill="1" applyBorder="1" applyAlignment="1">
      <alignment horizontal="center" vertical="center"/>
    </xf>
    <xf numFmtId="49" fontId="139" fillId="7" borderId="105" xfId="9" applyNumberFormat="1" applyFont="1" applyFill="1" applyBorder="1" applyAlignment="1">
      <alignment horizontal="center" vertical="center"/>
    </xf>
    <xf numFmtId="49" fontId="139" fillId="7" borderId="79" xfId="9" applyNumberFormat="1" applyFont="1" applyFill="1" applyBorder="1" applyAlignment="1">
      <alignment horizontal="center" vertical="center"/>
    </xf>
    <xf numFmtId="49" fontId="139" fillId="7" borderId="93" xfId="9" applyNumberFormat="1" applyFont="1" applyFill="1" applyBorder="1" applyAlignment="1">
      <alignment horizontal="center" vertical="center"/>
    </xf>
    <xf numFmtId="49" fontId="139" fillId="7" borderId="86" xfId="0" applyNumberFormat="1" applyFont="1" applyFill="1" applyBorder="1" applyAlignment="1">
      <alignment horizontal="center" wrapText="1"/>
    </xf>
    <xf numFmtId="49" fontId="145" fillId="7" borderId="86" xfId="0" applyNumberFormat="1" applyFont="1" applyFill="1" applyBorder="1" applyAlignment="1">
      <alignment horizontal="center"/>
    </xf>
    <xf numFmtId="49" fontId="139" fillId="7" borderId="86" xfId="0" applyNumberFormat="1" applyFont="1" applyFill="1" applyBorder="1" applyAlignment="1">
      <alignment horizontal="center"/>
    </xf>
    <xf numFmtId="49" fontId="145" fillId="7" borderId="93" xfId="0" applyNumberFormat="1" applyFont="1" applyFill="1" applyBorder="1" applyAlignment="1">
      <alignment horizontal="center"/>
    </xf>
    <xf numFmtId="49" fontId="139" fillId="7" borderId="87" xfId="0" applyNumberFormat="1" applyFont="1" applyFill="1" applyBorder="1" applyAlignment="1">
      <alignment horizontal="center"/>
    </xf>
    <xf numFmtId="49" fontId="145" fillId="7" borderId="85" xfId="0" applyNumberFormat="1" applyFont="1" applyFill="1" applyBorder="1" applyAlignment="1">
      <alignment wrapText="1"/>
    </xf>
    <xf numFmtId="49" fontId="139" fillId="7" borderId="85" xfId="0" applyNumberFormat="1" applyFont="1" applyFill="1" applyBorder="1" applyAlignment="1">
      <alignment wrapText="1"/>
    </xf>
    <xf numFmtId="49" fontId="139" fillId="7" borderId="106" xfId="0" applyNumberFormat="1" applyFont="1" applyFill="1" applyBorder="1" applyAlignment="1">
      <alignment horizontal="left" wrapText="1"/>
    </xf>
    <xf numFmtId="49" fontId="139" fillId="7" borderId="100" xfId="0" applyNumberFormat="1" applyFont="1" applyFill="1" applyBorder="1" applyAlignment="1">
      <alignment horizontal="left" wrapText="1"/>
    </xf>
    <xf numFmtId="49" fontId="139" fillId="7" borderId="81" xfId="0" applyNumberFormat="1" applyFont="1" applyFill="1" applyBorder="1" applyAlignment="1">
      <alignment horizontal="left" wrapText="1"/>
    </xf>
    <xf numFmtId="49" fontId="139" fillId="7" borderId="96" xfId="0" applyNumberFormat="1" applyFont="1" applyFill="1" applyBorder="1" applyAlignment="1">
      <alignment horizontal="left" wrapText="1"/>
    </xf>
    <xf numFmtId="0" fontId="144" fillId="9" borderId="85" xfId="0" applyFont="1" applyFill="1" applyBorder="1" applyAlignment="1">
      <alignment horizontal="left" vertical="top" wrapText="1"/>
    </xf>
    <xf numFmtId="0" fontId="138" fillId="9" borderId="85" xfId="0" applyFont="1" applyFill="1" applyBorder="1" applyAlignment="1">
      <alignment horizontal="left" vertical="top" wrapText="1"/>
    </xf>
    <xf numFmtId="0" fontId="138" fillId="9" borderId="96" xfId="0" applyFont="1" applyFill="1" applyBorder="1" applyAlignment="1">
      <alignment horizontal="left" vertical="top" wrapText="1"/>
    </xf>
    <xf numFmtId="0" fontId="139" fillId="7" borderId="85" xfId="0" applyFont="1" applyFill="1" applyBorder="1" applyAlignment="1">
      <alignment horizontal="left" vertical="top" wrapText="1"/>
    </xf>
    <xf numFmtId="0" fontId="138" fillId="9" borderId="92" xfId="0" applyFont="1" applyFill="1" applyBorder="1" applyAlignment="1">
      <alignment horizontal="left" vertical="top" wrapText="1"/>
    </xf>
    <xf numFmtId="0" fontId="144" fillId="9" borderId="86" xfId="9" applyFont="1" applyFill="1" applyBorder="1" applyAlignment="1">
      <alignment horizontal="center" vertical="center"/>
    </xf>
    <xf numFmtId="0" fontId="138" fillId="9" borderId="86" xfId="9" applyFont="1" applyFill="1" applyBorder="1" applyAlignment="1">
      <alignment horizontal="left" vertical="center" wrapText="1"/>
    </xf>
    <xf numFmtId="0" fontId="138" fillId="9" borderId="104" xfId="9" applyFont="1" applyFill="1" applyBorder="1" applyAlignment="1">
      <alignment horizontal="left" vertical="center" wrapText="1"/>
    </xf>
    <xf numFmtId="0" fontId="138" fillId="9" borderId="105" xfId="9" applyFont="1" applyFill="1" applyBorder="1" applyAlignment="1">
      <alignment horizontal="left" vertical="center" wrapText="1"/>
    </xf>
    <xf numFmtId="0" fontId="138" fillId="9" borderId="79" xfId="9" applyFont="1" applyFill="1" applyBorder="1" applyAlignment="1">
      <alignment horizontal="left" vertical="center" wrapText="1"/>
    </xf>
    <xf numFmtId="0" fontId="138" fillId="9" borderId="93" xfId="9" applyFont="1" applyFill="1" applyBorder="1" applyAlignment="1">
      <alignment horizontal="left" vertical="center" wrapText="1"/>
    </xf>
    <xf numFmtId="0" fontId="138" fillId="9" borderId="87" xfId="9" applyFont="1" applyFill="1" applyBorder="1" applyAlignment="1">
      <alignment horizontal="left" vertical="center" wrapText="1"/>
    </xf>
    <xf numFmtId="3" fontId="138" fillId="9" borderId="107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103" xfId="9" applyNumberFormat="1" applyFont="1" applyFill="1" applyBorder="1" applyAlignment="1" applyProtection="1">
      <alignment horizontal="right" vertical="center" wrapText="1"/>
      <protection locked="0"/>
    </xf>
    <xf numFmtId="0" fontId="216" fillId="9" borderId="86" xfId="9" applyFont="1" applyFill="1" applyBorder="1" applyAlignment="1">
      <alignment horizontal="center" vertical="center"/>
    </xf>
    <xf numFmtId="3" fontId="138" fillId="0" borderId="85" xfId="9" applyNumberFormat="1" applyFont="1" applyBorder="1" applyAlignment="1" applyProtection="1">
      <alignment horizontal="right" vertical="center" wrapText="1"/>
      <protection locked="0"/>
    </xf>
    <xf numFmtId="3" fontId="138" fillId="0" borderId="90" xfId="9" applyNumberFormat="1" applyFont="1" applyBorder="1" applyAlignment="1" applyProtection="1">
      <alignment horizontal="right" vertical="center" wrapText="1"/>
      <protection locked="0"/>
    </xf>
    <xf numFmtId="3" fontId="138" fillId="9" borderId="81" xfId="9" applyNumberFormat="1" applyFont="1" applyFill="1" applyBorder="1" applyAlignment="1">
      <alignment horizontal="right" vertical="center" wrapText="1"/>
    </xf>
    <xf numFmtId="3" fontId="138" fillId="9" borderId="80" xfId="9" applyNumberFormat="1" applyFont="1" applyFill="1" applyBorder="1" applyAlignment="1">
      <alignment horizontal="right" vertical="center" wrapText="1"/>
    </xf>
    <xf numFmtId="0" fontId="132" fillId="0" borderId="0" xfId="9" applyFont="1"/>
    <xf numFmtId="0" fontId="132" fillId="0" borderId="0" xfId="9" applyFont="1" applyAlignment="1">
      <alignment vertical="top"/>
    </xf>
    <xf numFmtId="0" fontId="126" fillId="0" borderId="0" xfId="9" applyFont="1" applyAlignment="1">
      <alignment horizontal="left"/>
    </xf>
    <xf numFmtId="0" fontId="126" fillId="0" borderId="0" xfId="9" applyFont="1" applyAlignment="1">
      <alignment horizontal="left" vertical="top"/>
    </xf>
    <xf numFmtId="0" fontId="218" fillId="0" borderId="0" xfId="9" applyFont="1" applyAlignment="1">
      <alignment horizontal="right" vertical="center"/>
    </xf>
    <xf numFmtId="0" fontId="144" fillId="0" borderId="85" xfId="9" applyFont="1" applyBorder="1" applyAlignment="1">
      <alignment horizontal="center" vertical="center" wrapText="1"/>
    </xf>
    <xf numFmtId="49" fontId="145" fillId="7" borderId="85" xfId="9" applyNumberFormat="1" applyFont="1" applyFill="1" applyBorder="1" applyAlignment="1">
      <alignment horizontal="center" vertical="center"/>
    </xf>
    <xf numFmtId="0" fontId="144" fillId="10" borderId="85" xfId="9" applyFont="1" applyFill="1" applyBorder="1" applyAlignment="1">
      <alignment vertical="center" wrapText="1"/>
    </xf>
    <xf numFmtId="3" fontId="144" fillId="9" borderId="85" xfId="9" applyNumberFormat="1" applyFont="1" applyFill="1" applyBorder="1" applyAlignment="1">
      <alignment horizontal="right" vertical="center" wrapText="1"/>
    </xf>
    <xf numFmtId="3" fontId="144" fillId="9" borderId="90" xfId="9" applyNumberFormat="1" applyFont="1" applyFill="1" applyBorder="1" applyAlignment="1">
      <alignment horizontal="right" vertical="center" wrapText="1"/>
    </xf>
    <xf numFmtId="3" fontId="144" fillId="0" borderId="85" xfId="9" applyNumberFormat="1" applyFont="1" applyBorder="1" applyAlignment="1">
      <alignment horizontal="right" vertical="center" wrapText="1"/>
    </xf>
    <xf numFmtId="3" fontId="144" fillId="0" borderId="90" xfId="9" applyNumberFormat="1" applyFont="1" applyBorder="1" applyAlignment="1">
      <alignment horizontal="right" vertical="center" wrapText="1"/>
    </xf>
    <xf numFmtId="3" fontId="144" fillId="9" borderId="96" xfId="9" applyNumberFormat="1" applyFont="1" applyFill="1" applyBorder="1" applyAlignment="1">
      <alignment horizontal="right" vertical="center" wrapText="1"/>
    </xf>
    <xf numFmtId="3" fontId="144" fillId="9" borderId="95" xfId="9" applyNumberFormat="1" applyFont="1" applyFill="1" applyBorder="1" applyAlignment="1">
      <alignment horizontal="right" vertical="center" wrapText="1"/>
    </xf>
    <xf numFmtId="0" fontId="133" fillId="0" borderId="0" xfId="4" applyNumberFormat="1" applyFont="1" applyAlignment="1">
      <alignment vertical="top"/>
    </xf>
    <xf numFmtId="0" fontId="218" fillId="0" borderId="0" xfId="9" applyFont="1"/>
    <xf numFmtId="3" fontId="212" fillId="0" borderId="0" xfId="4" quotePrefix="1" applyNumberFormat="1" applyFont="1" applyAlignment="1">
      <alignment horizontal="center"/>
    </xf>
    <xf numFmtId="3" fontId="138" fillId="0" borderId="85" xfId="9" applyNumberFormat="1" applyFont="1" applyBorder="1" applyAlignment="1" applyProtection="1">
      <alignment vertical="center" wrapText="1"/>
      <protection locked="0"/>
    </xf>
    <xf numFmtId="3" fontId="138" fillId="0" borderId="85" xfId="9" applyNumberFormat="1" applyFont="1" applyBorder="1" applyAlignment="1">
      <alignment horizontal="right" vertical="center" wrapText="1"/>
    </xf>
    <xf numFmtId="0" fontId="131" fillId="0" borderId="0" xfId="9" applyFont="1" applyAlignment="1">
      <alignment horizontal="left"/>
    </xf>
    <xf numFmtId="49" fontId="138" fillId="0" borderId="85" xfId="9" applyNumberFormat="1" applyFont="1" applyBorder="1" applyAlignment="1">
      <alignment horizontal="center" vertical="center"/>
    </xf>
    <xf numFmtId="0" fontId="144" fillId="0" borderId="85" xfId="9" applyFont="1" applyBorder="1" applyAlignment="1">
      <alignment horizontal="left" vertical="center" wrapText="1"/>
    </xf>
    <xf numFmtId="0" fontId="138" fillId="0" borderId="85" xfId="9" applyFont="1" applyBorder="1" applyAlignment="1">
      <alignment horizontal="left" vertical="center" wrapText="1"/>
    </xf>
    <xf numFmtId="0" fontId="144" fillId="0" borderId="85" xfId="9" applyFont="1" applyBorder="1" applyAlignment="1">
      <alignment horizontal="center" vertical="center"/>
    </xf>
    <xf numFmtId="0" fontId="138" fillId="0" borderId="85" xfId="9" applyFont="1" applyBorder="1" applyAlignment="1">
      <alignment horizontal="center" vertical="center" wrapText="1"/>
    </xf>
    <xf numFmtId="49" fontId="144" fillId="0" borderId="85" xfId="9" applyNumberFormat="1" applyFont="1" applyBorder="1" applyAlignment="1">
      <alignment horizontal="center" vertical="center"/>
    </xf>
    <xf numFmtId="0" fontId="139" fillId="0" borderId="85" xfId="0" applyFont="1" applyBorder="1" applyAlignment="1">
      <alignment vertical="center" wrapText="1"/>
    </xf>
    <xf numFmtId="0" fontId="139" fillId="0" borderId="85" xfId="0" applyFont="1" applyBorder="1" applyAlignment="1">
      <alignment horizontal="center" vertical="center" wrapText="1"/>
    </xf>
    <xf numFmtId="49" fontId="139" fillId="0" borderId="85" xfId="0" applyNumberFormat="1" applyFont="1" applyBorder="1" applyAlignment="1">
      <alignment wrapText="1"/>
    </xf>
    <xf numFmtId="49" fontId="135" fillId="0" borderId="0" xfId="9" applyNumberFormat="1" applyFont="1" applyAlignment="1">
      <alignment horizontal="center" vertical="center"/>
    </xf>
    <xf numFmtId="0" fontId="135" fillId="0" borderId="0" xfId="9" applyFont="1" applyAlignment="1">
      <alignment horizontal="left" vertical="center"/>
    </xf>
    <xf numFmtId="0" fontId="135" fillId="0" borderId="0" xfId="9" applyFont="1" applyAlignment="1">
      <alignment horizontal="center" vertical="center"/>
    </xf>
    <xf numFmtId="0" fontId="135" fillId="0" borderId="0" xfId="9" applyFont="1" applyAlignment="1">
      <alignment horizontal="center" vertical="center" wrapText="1"/>
    </xf>
    <xf numFmtId="0" fontId="215" fillId="0" borderId="0" xfId="9" applyFont="1" applyAlignment="1">
      <alignment horizontal="left"/>
    </xf>
    <xf numFmtId="0" fontId="212" fillId="0" borderId="0" xfId="9" applyFont="1"/>
    <xf numFmtId="3" fontId="135" fillId="0" borderId="0" xfId="9" applyNumberFormat="1" applyFont="1" applyAlignment="1">
      <alignment horizontal="right" vertical="center" wrapText="1"/>
    </xf>
    <xf numFmtId="0" fontId="212" fillId="0" borderId="0" xfId="9" applyFont="1" applyAlignment="1">
      <alignment horizontal="left"/>
    </xf>
    <xf numFmtId="0" fontId="143" fillId="0" borderId="0" xfId="0" applyFont="1"/>
    <xf numFmtId="0" fontId="212" fillId="0" borderId="0" xfId="9" applyFont="1" applyAlignment="1">
      <alignment horizontal="center" vertical="center"/>
    </xf>
    <xf numFmtId="0" fontId="219" fillId="0" borderId="0" xfId="0" applyFont="1" applyAlignment="1">
      <alignment horizontal="center" vertical="top"/>
    </xf>
    <xf numFmtId="0" fontId="128" fillId="0" borderId="0" xfId="0" applyFont="1" applyAlignment="1">
      <alignment vertical="center"/>
    </xf>
    <xf numFmtId="0" fontId="110" fillId="0" borderId="0" xfId="1" applyNumberFormat="1" applyFont="1" applyAlignment="1">
      <alignment horizontal="left"/>
    </xf>
    <xf numFmtId="0" fontId="110" fillId="0" borderId="0" xfId="1" applyNumberFormat="1" applyFont="1" applyAlignment="1">
      <alignment horizontal="left" wrapText="1"/>
    </xf>
    <xf numFmtId="0" fontId="110" fillId="0" borderId="0" xfId="0" applyFont="1" applyAlignment="1">
      <alignment horizontal="right"/>
    </xf>
    <xf numFmtId="0" fontId="220" fillId="0" borderId="0" xfId="0" applyFont="1" applyAlignment="1">
      <alignment horizontal="right"/>
    </xf>
    <xf numFmtId="0" fontId="157" fillId="0" borderId="0" xfId="1" applyNumberFormat="1" applyFont="1"/>
    <xf numFmtId="0" fontId="157" fillId="0" borderId="0" xfId="1" applyNumberFormat="1" applyFont="1" applyAlignment="1">
      <alignment horizontal="left"/>
    </xf>
    <xf numFmtId="49" fontId="110" fillId="0" borderId="0" xfId="1" applyNumberFormat="1" applyFont="1" applyAlignment="1">
      <alignment horizontal="left"/>
    </xf>
    <xf numFmtId="0" fontId="110" fillId="0" borderId="0" xfId="1" applyNumberFormat="1" applyFont="1"/>
    <xf numFmtId="0" fontId="110" fillId="0" borderId="0" xfId="1" applyNumberFormat="1" applyFont="1" applyAlignment="1">
      <alignment horizontal="right"/>
    </xf>
    <xf numFmtId="0" fontId="220" fillId="0" borderId="0" xfId="0" applyFont="1" applyAlignment="1">
      <alignment horizontal="right" vertical="top"/>
    </xf>
    <xf numFmtId="1" fontId="110" fillId="0" borderId="0" xfId="1" applyNumberFormat="1" applyFont="1" applyAlignment="1">
      <alignment horizontal="right"/>
    </xf>
    <xf numFmtId="0" fontId="221" fillId="0" borderId="0" xfId="0" applyFont="1" applyAlignment="1">
      <alignment horizontal="right" vertical="top"/>
    </xf>
    <xf numFmtId="0" fontId="110" fillId="0" borderId="0" xfId="0" applyFont="1" applyAlignment="1">
      <alignment horizontal="left"/>
    </xf>
    <xf numFmtId="0" fontId="221" fillId="0" borderId="0" xfId="0" applyFont="1" applyAlignment="1">
      <alignment horizontal="left" vertical="top"/>
    </xf>
    <xf numFmtId="0" fontId="222" fillId="0" borderId="0" xfId="0" applyFont="1" applyAlignment="1">
      <alignment vertical="top"/>
    </xf>
    <xf numFmtId="0" fontId="222" fillId="0" borderId="0" xfId="0" applyFont="1" applyAlignment="1">
      <alignment horizontal="right" vertical="top"/>
    </xf>
    <xf numFmtId="0" fontId="110" fillId="0" borderId="0" xfId="0" applyFont="1" applyAlignment="1">
      <alignment horizontal="center"/>
    </xf>
    <xf numFmtId="2" fontId="157" fillId="0" borderId="0" xfId="0" applyNumberFormat="1" applyFont="1" applyAlignment="1">
      <alignment horizontal="center"/>
    </xf>
    <xf numFmtId="0" fontId="221" fillId="0" borderId="0" xfId="0" applyFont="1" applyAlignment="1">
      <alignment vertical="center"/>
    </xf>
    <xf numFmtId="0" fontId="220" fillId="0" borderId="0" xfId="0" applyFont="1" applyAlignment="1">
      <alignment vertical="top"/>
    </xf>
    <xf numFmtId="0" fontId="221" fillId="0" borderId="0" xfId="0" applyFont="1" applyAlignment="1">
      <alignment horizontal="right" vertical="center"/>
    </xf>
    <xf numFmtId="0" fontId="220" fillId="0" borderId="0" xfId="0" applyFont="1"/>
    <xf numFmtId="0" fontId="220" fillId="0" borderId="0" xfId="0" applyFont="1" applyAlignment="1">
      <alignment horizontal="center" vertical="top"/>
    </xf>
    <xf numFmtId="0" fontId="221" fillId="0" borderId="0" xfId="0" applyFont="1" applyAlignment="1">
      <alignment horizontal="center" vertical="center"/>
    </xf>
    <xf numFmtId="0" fontId="220" fillId="0" borderId="0" xfId="0" applyFont="1" applyAlignment="1">
      <alignment horizontal="left" vertical="top"/>
    </xf>
    <xf numFmtId="1" fontId="153" fillId="0" borderId="0" xfId="0" applyNumberFormat="1" applyFont="1" applyAlignment="1">
      <alignment horizontal="left"/>
    </xf>
    <xf numFmtId="3" fontId="221" fillId="0" borderId="0" xfId="1" applyNumberFormat="1" applyFont="1" applyAlignment="1">
      <alignment horizontal="right"/>
    </xf>
    <xf numFmtId="49" fontId="154" fillId="0" borderId="0" xfId="0" applyNumberFormat="1" applyFont="1" applyAlignment="1">
      <alignment horizontal="right"/>
    </xf>
    <xf numFmtId="166" fontId="156" fillId="0" borderId="0" xfId="1" applyNumberFormat="1" applyFont="1"/>
    <xf numFmtId="166" fontId="154" fillId="0" borderId="0" xfId="1" applyNumberFormat="1" applyFont="1" applyAlignment="1">
      <alignment horizontal="left" vertical="top" wrapText="1"/>
    </xf>
    <xf numFmtId="166" fontId="154" fillId="0" borderId="0" xfId="1" applyNumberFormat="1" applyFont="1" applyAlignment="1">
      <alignment horizontal="left" wrapText="1"/>
    </xf>
    <xf numFmtId="166" fontId="154" fillId="0" borderId="0" xfId="1" applyNumberFormat="1" applyFont="1" applyAlignment="1">
      <alignment horizontal="left" vertical="top"/>
    </xf>
    <xf numFmtId="49" fontId="154" fillId="0" borderId="0" xfId="0" applyNumberFormat="1" applyFont="1" applyAlignment="1">
      <alignment horizontal="left" vertical="top"/>
    </xf>
    <xf numFmtId="0" fontId="223" fillId="0" borderId="0" xfId="0" applyFont="1" applyAlignment="1">
      <alignment horizontal="center" vertical="center" wrapText="1"/>
    </xf>
    <xf numFmtId="0" fontId="222" fillId="0" borderId="0" xfId="0" applyFont="1" applyAlignment="1">
      <alignment horizontal="left" vertical="top"/>
    </xf>
    <xf numFmtId="49" fontId="154" fillId="0" borderId="0" xfId="0" applyNumberFormat="1" applyFont="1"/>
    <xf numFmtId="0" fontId="110" fillId="0" borderId="76" xfId="13" applyFont="1" applyBorder="1" applyAlignment="1">
      <alignment horizontal="center" vertical="center"/>
    </xf>
    <xf numFmtId="0" fontId="129" fillId="0" borderId="2" xfId="13" applyFont="1" applyBorder="1" applyAlignment="1">
      <alignment horizontal="left" vertical="center"/>
    </xf>
    <xf numFmtId="0" fontId="129" fillId="0" borderId="8" xfId="13" applyFont="1" applyBorder="1" applyAlignment="1">
      <alignment horizontal="left" vertical="center" wrapText="1"/>
    </xf>
    <xf numFmtId="0" fontId="129" fillId="0" borderId="115" xfId="13" applyFont="1" applyBorder="1" applyAlignment="1">
      <alignment horizontal="left" vertical="center" wrapText="1"/>
    </xf>
    <xf numFmtId="0" fontId="129" fillId="0" borderId="2" xfId="13" applyFont="1" applyBorder="1" applyAlignment="1">
      <alignment horizontal="center" vertical="center"/>
    </xf>
    <xf numFmtId="0" fontId="129" fillId="0" borderId="9" xfId="13" applyFont="1" applyBorder="1" applyAlignment="1">
      <alignment horizontal="left" vertical="center"/>
    </xf>
    <xf numFmtId="49" fontId="151" fillId="0" borderId="10" xfId="13" applyNumberFormat="1" applyFont="1" applyBorder="1" applyAlignment="1">
      <alignment vertical="center"/>
    </xf>
    <xf numFmtId="49" fontId="151" fillId="0" borderId="11" xfId="13" applyNumberFormat="1" applyFont="1" applyBorder="1" applyAlignment="1">
      <alignment vertical="center"/>
    </xf>
    <xf numFmtId="0" fontId="147" fillId="0" borderId="77" xfId="13" applyFont="1" applyBorder="1" applyAlignment="1">
      <alignment horizontal="left" vertical="center"/>
    </xf>
    <xf numFmtId="49" fontId="165" fillId="0" borderId="0" xfId="13" applyNumberFormat="1" applyFont="1" applyAlignment="1">
      <alignment vertical="center"/>
    </xf>
    <xf numFmtId="0" fontId="147" fillId="0" borderId="2" xfId="13" applyFont="1" applyBorder="1" applyAlignment="1">
      <alignment horizontal="center" vertical="center"/>
    </xf>
    <xf numFmtId="0" fontId="129" fillId="0" borderId="7" xfId="13" applyFont="1" applyBorder="1" applyAlignment="1">
      <alignment horizontal="center" vertical="center"/>
    </xf>
    <xf numFmtId="0" fontId="147" fillId="0" borderId="9" xfId="13" applyFont="1" applyBorder="1" applyAlignment="1">
      <alignment horizontal="left" vertical="center"/>
    </xf>
    <xf numFmtId="49" fontId="165" fillId="0" borderId="10" xfId="13" applyNumberFormat="1" applyFont="1" applyBorder="1" applyAlignment="1">
      <alignment vertical="center"/>
    </xf>
    <xf numFmtId="49" fontId="165" fillId="0" borderId="11" xfId="13" applyNumberFormat="1" applyFont="1" applyBorder="1" applyAlignment="1">
      <alignment vertical="center"/>
    </xf>
    <xf numFmtId="0" fontId="147" fillId="0" borderId="7" xfId="13" applyFont="1" applyBorder="1" applyAlignment="1">
      <alignment horizontal="center" vertical="center"/>
    </xf>
    <xf numFmtId="0" fontId="129" fillId="0" borderId="76" xfId="13" applyFont="1" applyBorder="1" applyAlignment="1">
      <alignment horizontal="center" vertical="center"/>
    </xf>
    <xf numFmtId="0" fontId="129" fillId="0" borderId="120" xfId="13" applyFont="1" applyBorder="1" applyAlignment="1">
      <alignment horizontal="left" vertical="center"/>
    </xf>
    <xf numFmtId="49" fontId="151" fillId="0" borderId="8" xfId="13" applyNumberFormat="1" applyFont="1" applyBorder="1" applyAlignment="1">
      <alignment vertical="center"/>
    </xf>
    <xf numFmtId="49" fontId="151" fillId="0" borderId="115" xfId="13" applyNumberFormat="1" applyFont="1" applyBorder="1" applyAlignment="1">
      <alignment vertical="center"/>
    </xf>
    <xf numFmtId="0" fontId="129" fillId="0" borderId="116" xfId="13" applyFont="1" applyBorder="1" applyAlignment="1">
      <alignment horizontal="left" vertical="center"/>
    </xf>
    <xf numFmtId="49" fontId="151" fillId="0" borderId="117" xfId="13" applyNumberFormat="1" applyFont="1" applyBorder="1" applyAlignment="1">
      <alignment vertical="center"/>
    </xf>
    <xf numFmtId="49" fontId="151" fillId="0" borderId="118" xfId="13" applyNumberFormat="1" applyFont="1" applyBorder="1" applyAlignment="1">
      <alignment vertical="center"/>
    </xf>
    <xf numFmtId="0" fontId="147" fillId="0" borderId="10" xfId="13" applyFont="1" applyBorder="1" applyAlignment="1">
      <alignment horizontal="left" vertical="center" wrapText="1"/>
    </xf>
    <xf numFmtId="0" fontId="147" fillId="0" borderId="11" xfId="13" applyFont="1" applyBorder="1" applyAlignment="1">
      <alignment horizontal="left" vertical="center" wrapText="1"/>
    </xf>
    <xf numFmtId="0" fontId="219" fillId="0" borderId="0" xfId="0" applyFont="1"/>
    <xf numFmtId="0" fontId="219" fillId="0" borderId="0" xfId="0" applyFont="1" applyAlignment="1">
      <alignment horizontal="right" vertical="top"/>
    </xf>
    <xf numFmtId="0" fontId="225" fillId="0" borderId="0" xfId="0" applyFont="1"/>
    <xf numFmtId="0" fontId="139" fillId="0" borderId="0" xfId="13" applyFont="1" applyAlignment="1">
      <alignment vertical="center"/>
    </xf>
    <xf numFmtId="0" fontId="139" fillId="0" borderId="0" xfId="13" applyFont="1" applyAlignment="1">
      <alignment horizontal="center" vertical="center"/>
    </xf>
    <xf numFmtId="0" fontId="126" fillId="0" borderId="0" xfId="13" applyFont="1" applyAlignment="1">
      <alignment vertical="center"/>
    </xf>
    <xf numFmtId="49" fontId="139" fillId="0" borderId="0" xfId="13" applyNumberFormat="1" applyFont="1" applyAlignment="1">
      <alignment vertical="center"/>
    </xf>
    <xf numFmtId="0" fontId="212" fillId="0" borderId="0" xfId="13" applyFont="1" applyAlignment="1">
      <alignment horizontal="left" vertical="center"/>
    </xf>
    <xf numFmtId="0" fontId="212" fillId="0" borderId="0" xfId="13" applyFont="1" applyAlignment="1">
      <alignment vertical="center"/>
    </xf>
    <xf numFmtId="0" fontId="179" fillId="0" borderId="0" xfId="13" applyFont="1" applyAlignment="1">
      <alignment vertical="center"/>
    </xf>
    <xf numFmtId="0" fontId="180" fillId="0" borderId="0" xfId="13" applyFont="1" applyAlignment="1">
      <alignment vertical="center"/>
    </xf>
    <xf numFmtId="49" fontId="145" fillId="0" borderId="31" xfId="13" applyNumberFormat="1" applyFont="1" applyBorder="1" applyAlignment="1">
      <alignment horizontal="center" vertical="center"/>
    </xf>
    <xf numFmtId="49" fontId="133" fillId="0" borderId="41" xfId="13" applyNumberFormat="1" applyFont="1" applyBorder="1" applyAlignment="1">
      <alignment vertical="center"/>
    </xf>
    <xf numFmtId="0" fontId="133" fillId="0" borderId="39" xfId="13" applyFont="1" applyBorder="1" applyAlignment="1">
      <alignment vertical="center"/>
    </xf>
    <xf numFmtId="0" fontId="133" fillId="0" borderId="38" xfId="13" applyFont="1" applyBorder="1" applyAlignment="1">
      <alignment horizontal="justify" vertical="center" wrapText="1"/>
    </xf>
    <xf numFmtId="0" fontId="126" fillId="0" borderId="38" xfId="13" applyFont="1" applyBorder="1" applyAlignment="1">
      <alignment vertical="center"/>
    </xf>
    <xf numFmtId="0" fontId="133" fillId="0" borderId="38" xfId="13" applyFont="1" applyBorder="1" applyAlignment="1">
      <alignment vertical="center"/>
    </xf>
    <xf numFmtId="0" fontId="133" fillId="0" borderId="63" xfId="13" applyFont="1" applyBorder="1" applyAlignment="1">
      <alignment horizontal="justify" vertical="center" wrapText="1"/>
    </xf>
    <xf numFmtId="49" fontId="133" fillId="0" borderId="34" xfId="13" applyNumberFormat="1" applyFont="1" applyBorder="1" applyAlignment="1">
      <alignment vertical="center"/>
    </xf>
    <xf numFmtId="49" fontId="126" fillId="0" borderId="34" xfId="13" applyNumberFormat="1" applyFont="1" applyBorder="1" applyAlignment="1">
      <alignment vertical="center"/>
    </xf>
    <xf numFmtId="0" fontId="126" fillId="0" borderId="5" xfId="13" applyFont="1" applyBorder="1" applyAlignment="1">
      <alignment horizontal="center" vertical="center"/>
    </xf>
    <xf numFmtId="0" fontId="126" fillId="0" borderId="5" xfId="13" applyFont="1" applyBorder="1" applyAlignment="1">
      <alignment horizontal="center" vertical="top"/>
    </xf>
    <xf numFmtId="0" fontId="126" fillId="0" borderId="4" xfId="13" applyFont="1" applyBorder="1" applyAlignment="1">
      <alignment horizontal="justify" vertical="center"/>
    </xf>
    <xf numFmtId="0" fontId="126" fillId="0" borderId="6" xfId="13" applyFont="1" applyBorder="1" applyAlignment="1">
      <alignment horizontal="justify" vertical="center"/>
    </xf>
    <xf numFmtId="49" fontId="126" fillId="0" borderId="34" xfId="13" applyNumberFormat="1" applyFont="1" applyBorder="1" applyAlignment="1">
      <alignment horizontal="left" vertical="center"/>
    </xf>
    <xf numFmtId="0" fontId="126" fillId="0" borderId="4" xfId="13" applyFont="1" applyBorder="1" applyAlignment="1">
      <alignment horizontal="right" vertical="center"/>
    </xf>
    <xf numFmtId="0" fontId="126" fillId="0" borderId="4" xfId="13" applyFont="1" applyBorder="1" applyAlignment="1">
      <alignment vertical="center"/>
    </xf>
    <xf numFmtId="49" fontId="133" fillId="0" borderId="31" xfId="13" applyNumberFormat="1" applyFont="1" applyBorder="1" applyAlignment="1">
      <alignment vertical="center"/>
    </xf>
    <xf numFmtId="49" fontId="126" fillId="0" borderId="0" xfId="13" applyNumberFormat="1" applyFont="1" applyAlignment="1">
      <alignment vertical="center"/>
    </xf>
    <xf numFmtId="0" fontId="126" fillId="0" borderId="0" xfId="13" applyFont="1" applyAlignment="1">
      <alignment horizontal="center" vertical="center"/>
    </xf>
    <xf numFmtId="3" fontId="126" fillId="0" borderId="0" xfId="5" applyNumberFormat="1" applyFont="1" applyAlignment="1">
      <alignment horizontal="right" vertical="center"/>
    </xf>
    <xf numFmtId="0" fontId="227" fillId="0" borderId="0" xfId="13" applyFont="1" applyAlignment="1">
      <alignment horizontal="left"/>
    </xf>
    <xf numFmtId="0" fontId="212" fillId="0" borderId="0" xfId="13" applyFont="1"/>
    <xf numFmtId="0" fontId="212" fillId="0" borderId="0" xfId="13" applyFont="1" applyAlignment="1">
      <alignment horizontal="left"/>
    </xf>
    <xf numFmtId="0" fontId="218" fillId="0" borderId="0" xfId="13" applyFont="1"/>
    <xf numFmtId="165" fontId="212" fillId="0" borderId="0" xfId="5" applyFont="1" applyAlignment="1">
      <alignment horizontal="right"/>
    </xf>
    <xf numFmtId="165" fontId="218" fillId="0" borderId="0" xfId="5" applyFont="1" applyAlignment="1">
      <alignment horizontal="right"/>
    </xf>
    <xf numFmtId="165" fontId="227" fillId="0" borderId="0" xfId="5" applyFont="1"/>
    <xf numFmtId="165" fontId="218" fillId="0" borderId="0" xfId="5" applyFont="1"/>
    <xf numFmtId="165" fontId="212" fillId="0" borderId="0" xfId="5" applyFont="1"/>
    <xf numFmtId="165" fontId="212" fillId="0" borderId="0" xfId="5" applyFont="1" applyAlignment="1">
      <alignment horizontal="center"/>
    </xf>
    <xf numFmtId="0" fontId="227" fillId="0" borderId="0" xfId="13" applyFont="1" applyAlignment="1">
      <alignment horizontal="left" vertical="center"/>
    </xf>
    <xf numFmtId="0" fontId="218" fillId="0" borderId="0" xfId="13" applyFont="1" applyAlignment="1">
      <alignment vertical="center"/>
    </xf>
    <xf numFmtId="165" fontId="212" fillId="0" borderId="0" xfId="5" applyFont="1" applyAlignment="1">
      <alignment horizontal="right" vertical="center"/>
    </xf>
    <xf numFmtId="165" fontId="218" fillId="0" borderId="0" xfId="5" applyFont="1" applyAlignment="1">
      <alignment horizontal="right" vertical="center"/>
    </xf>
    <xf numFmtId="165" fontId="227" fillId="0" borderId="0" xfId="5" applyFont="1" applyAlignment="1">
      <alignment vertical="center"/>
    </xf>
    <xf numFmtId="165" fontId="218" fillId="0" borderId="0" xfId="5" applyFont="1" applyAlignment="1">
      <alignment vertical="center"/>
    </xf>
    <xf numFmtId="165" fontId="212" fillId="0" borderId="0" xfId="5" applyFont="1" applyAlignment="1">
      <alignment vertical="center"/>
    </xf>
    <xf numFmtId="165" fontId="212" fillId="0" borderId="0" xfId="5" applyFont="1" applyAlignment="1">
      <alignment horizontal="center" vertical="center"/>
    </xf>
    <xf numFmtId="0" fontId="218" fillId="0" borderId="0" xfId="13" applyFont="1" applyAlignment="1">
      <alignment horizontal="left" vertical="center"/>
    </xf>
    <xf numFmtId="0" fontId="233" fillId="0" borderId="0" xfId="13" applyFont="1" applyAlignment="1">
      <alignment horizontal="left"/>
    </xf>
    <xf numFmtId="1" fontId="218" fillId="0" borderId="0" xfId="13" applyNumberFormat="1" applyFont="1" applyAlignment="1">
      <alignment horizontal="left" vertical="center"/>
    </xf>
    <xf numFmtId="0" fontId="135" fillId="0" borderId="26" xfId="13" applyFont="1" applyBorder="1" applyAlignment="1">
      <alignment horizontal="center" vertical="center"/>
    </xf>
    <xf numFmtId="0" fontId="135" fillId="0" borderId="25" xfId="13" applyFont="1" applyBorder="1" applyAlignment="1">
      <alignment horizontal="center" vertical="center"/>
    </xf>
    <xf numFmtId="0" fontId="135" fillId="0" borderId="40" xfId="13" applyFont="1" applyBorder="1" applyAlignment="1">
      <alignment horizontal="center" vertical="center"/>
    </xf>
    <xf numFmtId="0" fontId="135" fillId="0" borderId="22" xfId="13" applyFont="1" applyBorder="1" applyAlignment="1">
      <alignment horizontal="center" vertical="center"/>
    </xf>
    <xf numFmtId="0" fontId="135" fillId="0" borderId="0" xfId="13" applyFont="1" applyAlignment="1">
      <alignment horizontal="center" vertical="center"/>
    </xf>
    <xf numFmtId="0" fontId="135" fillId="0" borderId="54" xfId="13" applyFont="1" applyBorder="1" applyAlignment="1">
      <alignment horizontal="center" vertical="center"/>
    </xf>
    <xf numFmtId="0" fontId="183" fillId="0" borderId="0" xfId="13" applyFont="1" applyAlignment="1">
      <alignment vertical="center"/>
    </xf>
    <xf numFmtId="0" fontId="135" fillId="0" borderId="0" xfId="13" applyFont="1" applyAlignment="1">
      <alignment vertical="center"/>
    </xf>
    <xf numFmtId="0" fontId="135" fillId="0" borderId="54" xfId="13" applyFont="1" applyBorder="1" applyAlignment="1">
      <alignment vertical="center"/>
    </xf>
    <xf numFmtId="0" fontId="135" fillId="0" borderId="21" xfId="13" applyFont="1" applyBorder="1" applyAlignment="1">
      <alignment vertical="center"/>
    </xf>
    <xf numFmtId="0" fontId="183" fillId="0" borderId="22" xfId="13" applyFont="1" applyBorder="1" applyAlignment="1">
      <alignment vertical="center"/>
    </xf>
    <xf numFmtId="0" fontId="183" fillId="0" borderId="0" xfId="13" applyFont="1" applyAlignment="1">
      <alignment horizontal="left" vertical="center"/>
    </xf>
    <xf numFmtId="0" fontId="135" fillId="0" borderId="0" xfId="13" applyFont="1" applyAlignment="1">
      <alignment horizontal="right" vertical="center"/>
    </xf>
    <xf numFmtId="0" fontId="184" fillId="0" borderId="0" xfId="13" applyFont="1" applyAlignment="1">
      <alignment vertical="center"/>
    </xf>
    <xf numFmtId="0" fontId="135" fillId="0" borderId="19" xfId="13" applyFont="1" applyBorder="1" applyAlignment="1">
      <alignment horizontal="center" vertical="center"/>
    </xf>
    <xf numFmtId="0" fontId="135" fillId="0" borderId="18" xfId="13" applyFont="1" applyBorder="1" applyAlignment="1">
      <alignment horizontal="center" vertical="center"/>
    </xf>
    <xf numFmtId="0" fontId="135" fillId="0" borderId="33" xfId="13" applyFont="1" applyBorder="1" applyAlignment="1">
      <alignment horizontal="center" vertical="center"/>
    </xf>
    <xf numFmtId="0" fontId="183" fillId="0" borderId="18" xfId="13" applyFont="1" applyBorder="1" applyAlignment="1">
      <alignment vertical="center"/>
    </xf>
    <xf numFmtId="0" fontId="135" fillId="0" borderId="18" xfId="13" applyFont="1" applyBorder="1" applyAlignment="1">
      <alignment vertical="center"/>
    </xf>
    <xf numFmtId="0" fontId="183" fillId="0" borderId="18" xfId="13" applyFont="1" applyBorder="1" applyAlignment="1">
      <alignment horizontal="left" vertical="center"/>
    </xf>
    <xf numFmtId="0" fontId="135" fillId="0" borderId="33" xfId="13" applyFont="1" applyBorder="1" applyAlignment="1">
      <alignment vertical="center"/>
    </xf>
    <xf numFmtId="49" fontId="136" fillId="0" borderId="34" xfId="13" applyNumberFormat="1" applyFont="1" applyBorder="1" applyAlignment="1">
      <alignment horizontal="center" vertical="center"/>
    </xf>
    <xf numFmtId="49" fontId="138" fillId="0" borderId="34" xfId="13" applyNumberFormat="1" applyFont="1" applyBorder="1" applyAlignment="1">
      <alignment vertical="center"/>
    </xf>
    <xf numFmtId="0" fontId="138" fillId="0" borderId="4" xfId="13" applyFont="1" applyBorder="1" applyAlignment="1">
      <alignment vertical="center"/>
    </xf>
    <xf numFmtId="49" fontId="139" fillId="0" borderId="34" xfId="13" applyNumberFormat="1" applyFont="1" applyBorder="1" applyAlignment="1">
      <alignment vertical="center"/>
    </xf>
    <xf numFmtId="0" fontId="139" fillId="0" borderId="4" xfId="13" applyFont="1" applyBorder="1" applyAlignment="1">
      <alignment vertical="center"/>
    </xf>
    <xf numFmtId="0" fontId="139" fillId="0" borderId="5" xfId="13" applyFont="1" applyBorder="1" applyAlignment="1">
      <alignment vertical="center"/>
    </xf>
    <xf numFmtId="0" fontId="139" fillId="0" borderId="5" xfId="13" applyFont="1" applyBorder="1" applyAlignment="1">
      <alignment horizontal="left" vertical="center"/>
    </xf>
    <xf numFmtId="0" fontId="139" fillId="0" borderId="4" xfId="13" applyFont="1" applyBorder="1" applyAlignment="1">
      <alignment horizontal="left" vertical="center"/>
    </xf>
    <xf numFmtId="0" fontId="139" fillId="0" borderId="0" xfId="13" applyFont="1" applyAlignment="1">
      <alignment horizontal="left" vertical="center" wrapText="1"/>
    </xf>
    <xf numFmtId="0" fontId="181" fillId="0" borderId="0" xfId="13" applyFont="1" applyAlignment="1">
      <alignment vertical="center"/>
    </xf>
    <xf numFmtId="3" fontId="135" fillId="0" borderId="0" xfId="5" applyNumberFormat="1" applyFont="1" applyAlignment="1">
      <alignment horizontal="center" vertical="center"/>
    </xf>
    <xf numFmtId="3" fontId="135" fillId="0" borderId="21" xfId="5" applyNumberFormat="1" applyFont="1" applyBorder="1" applyAlignment="1">
      <alignment horizontal="center" vertical="center"/>
    </xf>
    <xf numFmtId="49" fontId="139" fillId="0" borderId="56" xfId="13" applyNumberFormat="1" applyFont="1" applyBorder="1" applyAlignment="1">
      <alignment horizontal="left" vertical="center"/>
    </xf>
    <xf numFmtId="49" fontId="139" fillId="0" borderId="4" xfId="13" applyNumberFormat="1" applyFont="1" applyBorder="1" applyAlignment="1">
      <alignment horizontal="left" vertical="center"/>
    </xf>
    <xf numFmtId="49" fontId="139" fillId="0" borderId="0" xfId="13" applyNumberFormat="1" applyFont="1" applyAlignment="1">
      <alignment horizontal="left" vertical="center"/>
    </xf>
    <xf numFmtId="49" fontId="139" fillId="0" borderId="55" xfId="13" applyNumberFormat="1" applyFont="1" applyBorder="1" applyAlignment="1">
      <alignment horizontal="left" vertical="center"/>
    </xf>
    <xf numFmtId="49" fontId="139" fillId="0" borderId="53" xfId="13" applyNumberFormat="1" applyFont="1" applyBorder="1" applyAlignment="1">
      <alignment vertical="center"/>
    </xf>
    <xf numFmtId="0" fontId="139" fillId="0" borderId="30" xfId="13" applyFont="1" applyBorder="1" applyAlignment="1">
      <alignment horizontal="left" vertical="center"/>
    </xf>
    <xf numFmtId="0" fontId="139" fillId="0" borderId="29" xfId="13" applyFont="1" applyBorder="1" applyAlignment="1">
      <alignment horizontal="left" vertical="center"/>
    </xf>
    <xf numFmtId="0" fontId="139" fillId="0" borderId="29" xfId="13" applyFont="1" applyBorder="1" applyAlignment="1">
      <alignment vertical="center"/>
    </xf>
    <xf numFmtId="171" fontId="181" fillId="0" borderId="15" xfId="5" applyNumberFormat="1" applyFont="1" applyBorder="1" applyAlignment="1">
      <alignment horizontal="center" vertical="center"/>
    </xf>
    <xf numFmtId="171" fontId="181" fillId="0" borderId="52" xfId="5" applyNumberFormat="1" applyFont="1" applyBorder="1" applyAlignment="1">
      <alignment horizontal="center" vertical="center"/>
    </xf>
    <xf numFmtId="171" fontId="181" fillId="0" borderId="14" xfId="5" applyNumberFormat="1" applyFont="1" applyBorder="1" applyAlignment="1">
      <alignment horizontal="center" vertical="center"/>
    </xf>
    <xf numFmtId="0" fontId="235" fillId="0" borderId="0" xfId="13" applyFont="1" applyAlignment="1">
      <alignment horizontal="left"/>
    </xf>
    <xf numFmtId="0" fontId="134" fillId="0" borderId="0" xfId="13" applyFont="1" applyAlignment="1">
      <alignment horizontal="left" wrapText="1"/>
    </xf>
    <xf numFmtId="0" fontId="182" fillId="0" borderId="0" xfId="13" applyFont="1" applyAlignment="1">
      <alignment vertical="center"/>
    </xf>
    <xf numFmtId="0" fontId="146" fillId="0" borderId="0" xfId="13" applyFont="1" applyAlignment="1">
      <alignment vertical="center"/>
    </xf>
    <xf numFmtId="0" fontId="235" fillId="0" borderId="0" xfId="13" applyFont="1" applyAlignment="1">
      <alignment vertical="center"/>
    </xf>
    <xf numFmtId="0" fontId="236" fillId="0" borderId="0" xfId="13" applyFont="1"/>
    <xf numFmtId="0" fontId="181" fillId="0" borderId="0" xfId="13" applyFont="1" applyAlignment="1">
      <alignment horizontal="center" vertical="center"/>
    </xf>
    <xf numFmtId="0" fontId="179" fillId="0" borderId="0" xfId="13" applyFont="1" applyAlignment="1">
      <alignment horizontal="center" vertical="center"/>
    </xf>
    <xf numFmtId="0" fontId="235" fillId="0" borderId="0" xfId="13" applyFont="1" applyAlignment="1">
      <alignment vertical="top"/>
    </xf>
    <xf numFmtId="0" fontId="178" fillId="0" borderId="0" xfId="13" applyFont="1" applyAlignment="1">
      <alignment vertical="center"/>
    </xf>
    <xf numFmtId="0" fontId="234" fillId="0" borderId="0" xfId="13" applyFont="1"/>
    <xf numFmtId="0" fontId="233" fillId="0" borderId="0" xfId="13" applyFont="1" applyAlignment="1">
      <alignment horizontal="left" vertical="center"/>
    </xf>
    <xf numFmtId="0" fontId="218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106" fillId="0" borderId="0" xfId="13" applyFont="1"/>
    <xf numFmtId="0" fontId="133" fillId="0" borderId="0" xfId="13" applyFont="1" applyAlignment="1">
      <alignment vertical="center"/>
    </xf>
    <xf numFmtId="0" fontId="139" fillId="0" borderId="0" xfId="13" applyFont="1"/>
    <xf numFmtId="0" fontId="234" fillId="0" borderId="0" xfId="13" applyFont="1" applyAlignment="1">
      <alignment horizontal="right"/>
    </xf>
    <xf numFmtId="0" fontId="238" fillId="0" borderId="0" xfId="0" applyFont="1" applyAlignment="1">
      <alignment horizontal="right" vertical="center"/>
    </xf>
    <xf numFmtId="0" fontId="233" fillId="0" borderId="0" xfId="12" applyFont="1" applyAlignment="1">
      <alignment horizontal="right" vertical="center"/>
    </xf>
    <xf numFmtId="0" fontId="205" fillId="0" borderId="0" xfId="0" applyFont="1" applyAlignment="1">
      <alignment horizontal="left"/>
    </xf>
    <xf numFmtId="164" fontId="142" fillId="0" borderId="0" xfId="3" applyFont="1" applyAlignment="1">
      <alignment vertical="center"/>
    </xf>
    <xf numFmtId="0" fontId="205" fillId="0" borderId="0" xfId="0" applyFont="1" applyAlignment="1">
      <alignment horizontal="right"/>
    </xf>
    <xf numFmtId="0" fontId="187" fillId="0" borderId="0" xfId="3" applyNumberFormat="1" applyFont="1" applyAlignment="1">
      <alignment horizontal="left" vertical="center"/>
    </xf>
    <xf numFmtId="0" fontId="205" fillId="0" borderId="0" xfId="0" applyFont="1" applyAlignment="1">
      <alignment horizontal="left" vertical="top"/>
    </xf>
    <xf numFmtId="0" fontId="205" fillId="0" borderId="0" xfId="0" applyFont="1" applyAlignment="1">
      <alignment horizontal="right" vertical="top"/>
    </xf>
    <xf numFmtId="1" fontId="234" fillId="0" borderId="0" xfId="12" applyNumberFormat="1" applyFont="1" applyAlignment="1">
      <alignment horizontal="right"/>
    </xf>
    <xf numFmtId="1" fontId="233" fillId="0" borderId="0" xfId="12" applyNumberFormat="1" applyFont="1" applyAlignment="1">
      <alignment horizontal="left"/>
    </xf>
    <xf numFmtId="0" fontId="237" fillId="0" borderId="0" xfId="12" applyFont="1" applyAlignment="1">
      <alignment horizontal="right"/>
    </xf>
    <xf numFmtId="0" fontId="169" fillId="0" borderId="0" xfId="1" applyNumberFormat="1" applyFont="1" applyAlignment="1">
      <alignment horizontal="left"/>
    </xf>
    <xf numFmtId="0" fontId="169" fillId="0" borderId="0" xfId="1" applyNumberFormat="1" applyFont="1" applyAlignment="1">
      <alignment horizontal="left" wrapText="1"/>
    </xf>
    <xf numFmtId="0" fontId="178" fillId="0" borderId="0" xfId="12" applyFont="1"/>
    <xf numFmtId="0" fontId="240" fillId="0" borderId="0" xfId="0" applyFont="1" applyAlignment="1">
      <alignment horizontal="left" vertical="top"/>
    </xf>
    <xf numFmtId="0" fontId="178" fillId="0" borderId="0" xfId="0" applyFont="1" applyAlignment="1">
      <alignment vertical="top"/>
    </xf>
    <xf numFmtId="0" fontId="169" fillId="0" borderId="0" xfId="12" applyFont="1" applyAlignment="1">
      <alignment horizontal="left"/>
    </xf>
    <xf numFmtId="0" fontId="169" fillId="0" borderId="0" xfId="12" applyFont="1"/>
    <xf numFmtId="0" fontId="178" fillId="0" borderId="0" xfId="12" applyFont="1" applyAlignment="1">
      <alignment horizontal="center"/>
    </xf>
    <xf numFmtId="0" fontId="169" fillId="0" borderId="0" xfId="12" applyFont="1" applyAlignment="1">
      <alignment horizontal="center"/>
    </xf>
    <xf numFmtId="0" fontId="169" fillId="0" borderId="0" xfId="1" applyNumberFormat="1" applyFont="1" applyAlignment="1">
      <alignment horizontal="right"/>
    </xf>
    <xf numFmtId="0" fontId="178" fillId="0" borderId="0" xfId="12" applyFont="1" applyAlignment="1">
      <alignment vertical="top"/>
    </xf>
    <xf numFmtId="0" fontId="240" fillId="0" borderId="0" xfId="0" applyFont="1" applyAlignment="1">
      <alignment horizontal="right" vertical="top"/>
    </xf>
    <xf numFmtId="0" fontId="169" fillId="0" borderId="0" xfId="12" applyFont="1" applyAlignment="1">
      <alignment horizontal="left" wrapText="1"/>
    </xf>
    <xf numFmtId="0" fontId="234" fillId="0" borderId="0" xfId="0" applyFont="1" applyAlignment="1">
      <alignment horizontal="left" vertical="top"/>
    </xf>
    <xf numFmtId="0" fontId="234" fillId="0" borderId="0" xfId="0" applyFont="1" applyAlignment="1">
      <alignment horizontal="right" vertical="top"/>
    </xf>
    <xf numFmtId="0" fontId="178" fillId="0" borderId="0" xfId="12" applyFont="1" applyAlignment="1">
      <alignment horizontal="left"/>
    </xf>
    <xf numFmtId="14" fontId="169" fillId="0" borderId="0" xfId="12" applyNumberFormat="1" applyFont="1" applyAlignment="1">
      <alignment horizontal="center"/>
    </xf>
    <xf numFmtId="0" fontId="234" fillId="0" borderId="0" xfId="12" applyFont="1"/>
    <xf numFmtId="0" fontId="241" fillId="0" borderId="0" xfId="0" applyFont="1"/>
    <xf numFmtId="3" fontId="233" fillId="0" borderId="0" xfId="1" applyNumberFormat="1" applyFont="1" applyAlignment="1">
      <alignment horizontal="left"/>
    </xf>
    <xf numFmtId="3" fontId="205" fillId="0" borderId="0" xfId="1" applyNumberFormat="1" applyFont="1" applyAlignment="1">
      <alignment horizontal="left"/>
    </xf>
    <xf numFmtId="1" fontId="205" fillId="0" borderId="0" xfId="0" applyNumberFormat="1" applyFont="1" applyAlignment="1">
      <alignment horizontal="left"/>
    </xf>
    <xf numFmtId="1" fontId="218" fillId="0" borderId="0" xfId="12" applyNumberFormat="1" applyFont="1" applyAlignment="1">
      <alignment horizontal="left" vertical="center"/>
    </xf>
    <xf numFmtId="0" fontId="235" fillId="0" borderId="0" xfId="12" applyFont="1"/>
    <xf numFmtId="3" fontId="234" fillId="0" borderId="0" xfId="2" applyNumberFormat="1" applyFont="1" applyAlignment="1">
      <alignment horizontal="right"/>
    </xf>
    <xf numFmtId="1" fontId="242" fillId="0" borderId="0" xfId="12" applyNumberFormat="1" applyFont="1" applyAlignment="1">
      <alignment horizontal="center" textRotation="90"/>
    </xf>
    <xf numFmtId="0" fontId="243" fillId="0" borderId="0" xfId="12" applyFont="1"/>
    <xf numFmtId="0" fontId="169" fillId="0" borderId="0" xfId="9" applyFont="1" applyAlignment="1">
      <alignment horizontal="left" vertical="center"/>
    </xf>
    <xf numFmtId="3" fontId="169" fillId="0" borderId="0" xfId="4" applyNumberFormat="1" applyFont="1" applyAlignment="1">
      <alignment horizontal="right" vertical="center"/>
    </xf>
    <xf numFmtId="3" fontId="169" fillId="0" borderId="0" xfId="4" applyNumberFormat="1" applyFont="1" applyAlignment="1" applyProtection="1">
      <alignment horizontal="right" vertical="center"/>
      <protection locked="0"/>
    </xf>
    <xf numFmtId="0" fontId="169" fillId="0" borderId="0" xfId="9" applyFont="1" applyAlignment="1">
      <alignment vertical="center"/>
    </xf>
    <xf numFmtId="0" fontId="208" fillId="0" borderId="0" xfId="9" applyFont="1" applyAlignment="1">
      <alignment horizontal="left" vertical="top"/>
    </xf>
    <xf numFmtId="0" fontId="208" fillId="0" borderId="0" xfId="9" applyFont="1" applyAlignment="1">
      <alignment horizontal="right" vertical="top"/>
    </xf>
    <xf numFmtId="0" fontId="207" fillId="0" borderId="0" xfId="9" applyFont="1" applyAlignment="1">
      <alignment horizontal="right"/>
    </xf>
    <xf numFmtId="0" fontId="233" fillId="0" borderId="0" xfId="9" applyFont="1"/>
    <xf numFmtId="0" fontId="234" fillId="0" borderId="0" xfId="9" quotePrefix="1" applyFont="1" applyAlignment="1">
      <alignment horizontal="right"/>
    </xf>
    <xf numFmtId="0" fontId="207" fillId="0" borderId="0" xfId="9" applyFont="1" applyAlignment="1">
      <alignment horizontal="left"/>
    </xf>
    <xf numFmtId="0" fontId="244" fillId="0" borderId="0" xfId="9" applyFont="1" applyAlignment="1">
      <alignment vertical="center"/>
    </xf>
    <xf numFmtId="0" fontId="192" fillId="0" borderId="0" xfId="9" applyFont="1"/>
    <xf numFmtId="0" fontId="245" fillId="0" borderId="0" xfId="9" applyFont="1"/>
    <xf numFmtId="0" fontId="233" fillId="0" borderId="0" xfId="9" applyFont="1" applyAlignment="1">
      <alignment horizontal="left" vertical="center"/>
    </xf>
    <xf numFmtId="0" fontId="203" fillId="0" borderId="0" xfId="0" applyFont="1" applyAlignment="1">
      <alignment vertical="center"/>
    </xf>
    <xf numFmtId="0" fontId="162" fillId="0" borderId="0" xfId="0" applyFont="1" applyAlignment="1">
      <alignment horizontal="right" vertical="center"/>
    </xf>
    <xf numFmtId="0" fontId="115" fillId="0" borderId="0" xfId="0" applyFont="1" applyAlignment="1">
      <alignment horizontal="right"/>
    </xf>
    <xf numFmtId="0" fontId="115" fillId="0" borderId="0" xfId="0" applyFont="1" applyAlignment="1">
      <alignment horizontal="center"/>
    </xf>
    <xf numFmtId="0" fontId="120" fillId="0" borderId="0" xfId="0" applyFont="1" applyAlignment="1">
      <alignment horizontal="right" vertical="top"/>
    </xf>
    <xf numFmtId="0" fontId="247" fillId="0" borderId="0" xfId="0" applyFont="1" applyAlignment="1">
      <alignment horizontal="left" vertical="top"/>
    </xf>
    <xf numFmtId="0" fontId="247" fillId="0" borderId="0" xfId="0" applyFont="1" applyAlignment="1">
      <alignment horizontal="right" vertical="top"/>
    </xf>
    <xf numFmtId="0" fontId="247" fillId="0" borderId="0" xfId="0" applyFont="1" applyAlignment="1">
      <alignment horizontal="right"/>
    </xf>
    <xf numFmtId="0" fontId="248" fillId="0" borderId="0" xfId="0" applyFont="1" applyAlignment="1">
      <alignment horizontal="left"/>
    </xf>
    <xf numFmtId="49" fontId="113" fillId="0" borderId="0" xfId="0" applyNumberFormat="1" applyFont="1" applyAlignment="1" applyProtection="1">
      <alignment horizontal="left" vertical="center" shrinkToFit="1"/>
      <protection locked="0"/>
    </xf>
    <xf numFmtId="0" fontId="138" fillId="0" borderId="85" xfId="9" applyFont="1" applyBorder="1" applyAlignment="1">
      <alignment horizontal="left" vertical="center"/>
    </xf>
    <xf numFmtId="0" fontId="139" fillId="0" borderId="85" xfId="0" applyFont="1" applyBorder="1" applyAlignment="1">
      <alignment horizontal="center" vertical="center"/>
    </xf>
    <xf numFmtId="49" fontId="139" fillId="0" borderId="85" xfId="0" applyNumberFormat="1" applyFont="1" applyBorder="1" applyAlignment="1">
      <alignment vertical="top" wrapText="1"/>
    </xf>
    <xf numFmtId="49" fontId="145" fillId="0" borderId="85" xfId="0" applyNumberFormat="1" applyFont="1" applyBorder="1" applyAlignment="1">
      <alignment horizontal="center" vertical="center" wrapText="1"/>
    </xf>
    <xf numFmtId="0" fontId="145" fillId="0" borderId="85" xfId="0" applyFont="1" applyBorder="1" applyAlignment="1">
      <alignment vertical="center" wrapText="1"/>
    </xf>
    <xf numFmtId="0" fontId="139" fillId="0" borderId="85" xfId="0" applyFont="1" applyBorder="1" applyAlignment="1">
      <alignment wrapText="1"/>
    </xf>
    <xf numFmtId="0" fontId="145" fillId="0" borderId="85" xfId="0" applyFont="1" applyBorder="1" applyAlignment="1">
      <alignment horizontal="justify" vertical="top" wrapText="1"/>
    </xf>
    <xf numFmtId="0" fontId="139" fillId="0" borderId="85" xfId="0" applyFont="1" applyBorder="1"/>
    <xf numFmtId="0" fontId="139" fillId="0" borderId="85" xfId="0" applyFont="1" applyBorder="1" applyAlignment="1">
      <alignment vertical="top" wrapText="1"/>
    </xf>
    <xf numFmtId="0" fontId="145" fillId="0" borderId="85" xfId="0" applyFont="1" applyBorder="1" applyAlignment="1">
      <alignment horizontal="center" vertical="center" wrapText="1"/>
    </xf>
    <xf numFmtId="0" fontId="145" fillId="0" borderId="85" xfId="0" applyFont="1" applyBorder="1" applyAlignment="1">
      <alignment horizontal="center" vertical="center"/>
    </xf>
    <xf numFmtId="0" fontId="145" fillId="0" borderId="85" xfId="0" applyFont="1" applyBorder="1" applyAlignment="1">
      <alignment wrapText="1"/>
    </xf>
    <xf numFmtId="0" fontId="145" fillId="0" borderId="85" xfId="0" applyFont="1" applyBorder="1" applyAlignment="1">
      <alignment horizontal="left" vertical="top" wrapText="1"/>
    </xf>
    <xf numFmtId="0" fontId="145" fillId="0" borderId="0" xfId="0" applyFont="1" applyAlignment="1">
      <alignment horizontal="center" vertical="center"/>
    </xf>
    <xf numFmtId="0" fontId="135" fillId="0" borderId="0" xfId="0" applyFont="1" applyAlignment="1">
      <alignment vertical="center"/>
    </xf>
    <xf numFmtId="0" fontId="168" fillId="0" borderId="0" xfId="0" applyFont="1" applyAlignment="1">
      <alignment horizontal="right" vertical="center"/>
    </xf>
    <xf numFmtId="0" fontId="226" fillId="0" borderId="0" xfId="0" applyFont="1" applyAlignment="1">
      <alignment horizontal="right" vertical="center"/>
    </xf>
    <xf numFmtId="0" fontId="168" fillId="0" borderId="0" xfId="0" applyFont="1" applyAlignment="1">
      <alignment vertical="center"/>
    </xf>
    <xf numFmtId="0" fontId="171" fillId="0" borderId="0" xfId="0" applyFont="1" applyAlignment="1">
      <alignment vertical="center"/>
    </xf>
    <xf numFmtId="0" fontId="172" fillId="0" borderId="0" xfId="0" applyFont="1" applyAlignment="1">
      <alignment horizontal="left" vertical="center"/>
    </xf>
    <xf numFmtId="0" fontId="138" fillId="0" borderId="0" xfId="0" applyFont="1" applyAlignment="1">
      <alignment vertical="center"/>
    </xf>
    <xf numFmtId="0" fontId="173" fillId="0" borderId="0" xfId="0" applyFont="1" applyAlignment="1">
      <alignment vertical="center"/>
    </xf>
    <xf numFmtId="0" fontId="136" fillId="0" borderId="0" xfId="0" applyFont="1" applyAlignment="1">
      <alignment horizontal="left" vertical="center"/>
    </xf>
    <xf numFmtId="0" fontId="136" fillId="0" borderId="0" xfId="0" applyFont="1" applyAlignment="1">
      <alignment horizontal="right" vertical="center"/>
    </xf>
    <xf numFmtId="0" fontId="138" fillId="0" borderId="0" xfId="0" applyFont="1" applyAlignment="1">
      <alignment horizontal="right" vertical="center"/>
    </xf>
    <xf numFmtId="0" fontId="145" fillId="0" borderId="0" xfId="0" applyFont="1" applyAlignment="1">
      <alignment vertical="center"/>
    </xf>
    <xf numFmtId="0" fontId="175" fillId="0" borderId="0" xfId="0" applyFont="1" applyAlignment="1">
      <alignment vertical="center"/>
    </xf>
    <xf numFmtId="0" fontId="130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vertical="center"/>
    </xf>
    <xf numFmtId="0" fontId="174" fillId="0" borderId="0" xfId="0" applyFont="1" applyAlignment="1">
      <alignment vertical="center"/>
    </xf>
    <xf numFmtId="0" fontId="171" fillId="0" borderId="26" xfId="0" applyFont="1" applyBorder="1" applyAlignment="1">
      <alignment horizontal="center" vertical="center"/>
    </xf>
    <xf numFmtId="0" fontId="171" fillId="0" borderId="25" xfId="0" applyFont="1" applyBorder="1" applyAlignment="1">
      <alignment horizontal="center" vertical="center"/>
    </xf>
    <xf numFmtId="0" fontId="171" fillId="0" borderId="40" xfId="0" applyFont="1" applyBorder="1" applyAlignment="1">
      <alignment horizontal="center" vertical="center"/>
    </xf>
    <xf numFmtId="0" fontId="230" fillId="0" borderId="26" xfId="0" applyFont="1" applyBorder="1" applyAlignment="1">
      <alignment horizontal="center" vertical="center"/>
    </xf>
    <xf numFmtId="0" fontId="230" fillId="0" borderId="25" xfId="0" applyFont="1" applyBorder="1" applyAlignment="1">
      <alignment horizontal="center" vertical="center"/>
    </xf>
    <xf numFmtId="0" fontId="171" fillId="0" borderId="19" xfId="0" applyFont="1" applyBorder="1" applyAlignment="1">
      <alignment horizontal="center" vertical="center"/>
    </xf>
    <xf numFmtId="0" fontId="171" fillId="0" borderId="18" xfId="0" applyFont="1" applyBorder="1" applyAlignment="1">
      <alignment horizontal="center" vertical="center"/>
    </xf>
    <xf numFmtId="0" fontId="171" fillId="0" borderId="33" xfId="0" applyFont="1" applyBorder="1" applyAlignment="1">
      <alignment horizontal="center" vertical="center"/>
    </xf>
    <xf numFmtId="0" fontId="230" fillId="0" borderId="19" xfId="0" applyFont="1" applyBorder="1" applyAlignment="1">
      <alignment horizontal="center" vertical="center"/>
    </xf>
    <xf numFmtId="0" fontId="230" fillId="0" borderId="18" xfId="0" applyFont="1" applyBorder="1" applyAlignment="1">
      <alignment horizontal="center" vertical="center"/>
    </xf>
    <xf numFmtId="0" fontId="230" fillId="0" borderId="36" xfId="0" applyFont="1" applyBorder="1" applyAlignment="1">
      <alignment horizontal="left" vertical="center"/>
    </xf>
    <xf numFmtId="0" fontId="171" fillId="0" borderId="12" xfId="0" applyFont="1" applyBorder="1" applyAlignment="1">
      <alignment horizontal="left" vertical="center"/>
    </xf>
    <xf numFmtId="0" fontId="171" fillId="0" borderId="19" xfId="0" applyFont="1" applyBorder="1" applyAlignment="1">
      <alignment horizontal="left" vertical="center"/>
    </xf>
    <xf numFmtId="0" fontId="171" fillId="0" borderId="18" xfId="0" applyFont="1" applyBorder="1" applyAlignment="1">
      <alignment horizontal="left" vertical="center"/>
    </xf>
    <xf numFmtId="0" fontId="230" fillId="0" borderId="34" xfId="0" quotePrefix="1" applyFont="1" applyBorder="1" applyAlignment="1">
      <alignment horizontal="left" vertical="center"/>
    </xf>
    <xf numFmtId="0" fontId="230" fillId="0" borderId="4" xfId="0" applyFont="1" applyBorder="1" applyAlignment="1">
      <alignment horizontal="left" vertical="center"/>
    </xf>
    <xf numFmtId="0" fontId="230" fillId="0" borderId="5" xfId="0" applyFont="1" applyBorder="1" applyAlignment="1">
      <alignment horizontal="left" vertical="center" indent="3"/>
    </xf>
    <xf numFmtId="0" fontId="171" fillId="0" borderId="4" xfId="0" applyFont="1" applyBorder="1" applyAlignment="1">
      <alignment horizontal="left" vertical="center"/>
    </xf>
    <xf numFmtId="0" fontId="173" fillId="0" borderId="4" xfId="0" applyFont="1" applyBorder="1" applyAlignment="1">
      <alignment vertical="center"/>
    </xf>
    <xf numFmtId="0" fontId="231" fillId="0" borderId="4" xfId="0" applyFont="1" applyBorder="1" applyAlignment="1">
      <alignment horizontal="left" vertical="center"/>
    </xf>
    <xf numFmtId="0" fontId="171" fillId="0" borderId="34" xfId="0" quotePrefix="1" applyFont="1" applyBorder="1" applyAlignment="1">
      <alignment horizontal="left" vertical="center"/>
    </xf>
    <xf numFmtId="0" fontId="171" fillId="0" borderId="5" xfId="0" applyFont="1" applyBorder="1" applyAlignment="1">
      <alignment horizontal="left" vertical="center" indent="5"/>
    </xf>
    <xf numFmtId="0" fontId="230" fillId="0" borderId="36" xfId="0" applyFont="1" applyBorder="1" applyAlignment="1">
      <alignment horizontal="left" vertical="center" indent="3"/>
    </xf>
    <xf numFmtId="0" fontId="230" fillId="0" borderId="19" xfId="0" applyFont="1" applyBorder="1" applyAlignment="1">
      <alignment horizontal="left" vertical="center" indent="3"/>
    </xf>
    <xf numFmtId="0" fontId="171" fillId="0" borderId="31" xfId="0" quotePrefix="1" applyFont="1" applyBorder="1" applyAlignment="1">
      <alignment horizontal="left" vertical="center"/>
    </xf>
    <xf numFmtId="0" fontId="171" fillId="0" borderId="29" xfId="0" applyFont="1" applyBorder="1" applyAlignment="1">
      <alignment horizontal="left" vertical="center"/>
    </xf>
    <xf numFmtId="0" fontId="171" fillId="0" borderId="30" xfId="0" applyFont="1" applyBorder="1" applyAlignment="1">
      <alignment horizontal="left" vertical="center" indent="5"/>
    </xf>
    <xf numFmtId="0" fontId="171" fillId="0" borderId="29" xfId="0" applyFont="1" applyBorder="1" applyAlignment="1">
      <alignment horizontal="left" vertical="center" indent="1"/>
    </xf>
    <xf numFmtId="0" fontId="171" fillId="0" borderId="35" xfId="0" applyFont="1" applyBorder="1" applyAlignment="1">
      <alignment horizontal="left" vertical="center"/>
    </xf>
    <xf numFmtId="0" fontId="171" fillId="0" borderId="33" xfId="0" applyFont="1" applyBorder="1" applyAlignment="1">
      <alignment horizontal="left" vertical="center"/>
    </xf>
    <xf numFmtId="49" fontId="227" fillId="0" borderId="0" xfId="0" applyNumberFormat="1" applyFont="1" applyAlignment="1">
      <alignment vertical="center"/>
    </xf>
    <xf numFmtId="0" fontId="227" fillId="0" borderId="0" xfId="0" applyFont="1" applyAlignment="1">
      <alignment vertical="center"/>
    </xf>
    <xf numFmtId="49" fontId="139" fillId="0" borderId="0" xfId="0" applyNumberFormat="1" applyFont="1" applyAlignment="1">
      <alignment vertical="center"/>
    </xf>
    <xf numFmtId="0" fontId="171" fillId="0" borderId="20" xfId="0" applyFont="1" applyBorder="1" applyAlignment="1">
      <alignment horizontal="left" vertical="center"/>
    </xf>
    <xf numFmtId="0" fontId="230" fillId="0" borderId="16" xfId="0" applyFont="1" applyBorder="1" applyAlignment="1">
      <alignment horizontal="left" vertical="center"/>
    </xf>
    <xf numFmtId="0" fontId="171" fillId="0" borderId="14" xfId="0" applyFont="1" applyBorder="1" applyAlignment="1">
      <alignment horizontal="left" vertical="center"/>
    </xf>
    <xf numFmtId="0" fontId="230" fillId="0" borderId="18" xfId="0" applyFont="1" applyBorder="1" applyAlignment="1">
      <alignment vertical="center"/>
    </xf>
    <xf numFmtId="0" fontId="171" fillId="0" borderId="18" xfId="0" applyFont="1" applyBorder="1" applyAlignment="1">
      <alignment vertical="center"/>
    </xf>
    <xf numFmtId="0" fontId="232" fillId="0" borderId="18" xfId="0" applyFont="1" applyBorder="1" applyAlignment="1">
      <alignment vertical="center"/>
    </xf>
    <xf numFmtId="0" fontId="171" fillId="0" borderId="0" xfId="0" applyFont="1" applyAlignment="1">
      <alignment horizontal="center" vertical="center"/>
    </xf>
    <xf numFmtId="0" fontId="230" fillId="0" borderId="14" xfId="0" applyFont="1" applyBorder="1" applyAlignment="1">
      <alignment vertical="center"/>
    </xf>
    <xf numFmtId="0" fontId="171" fillId="0" borderId="14" xfId="0" applyFont="1" applyBorder="1" applyAlignment="1">
      <alignment vertical="center"/>
    </xf>
    <xf numFmtId="0" fontId="230" fillId="0" borderId="0" xfId="0" applyFont="1" applyAlignment="1">
      <alignment vertical="center"/>
    </xf>
    <xf numFmtId="0" fontId="230" fillId="0" borderId="22" xfId="0" applyFont="1" applyBorder="1" applyAlignment="1">
      <alignment vertical="center"/>
    </xf>
    <xf numFmtId="0" fontId="230" fillId="0" borderId="19" xfId="0" applyFont="1" applyBorder="1" applyAlignment="1">
      <alignment horizontal="left" vertical="center" indent="2"/>
    </xf>
    <xf numFmtId="0" fontId="171" fillId="0" borderId="19" xfId="0" applyFont="1" applyBorder="1" applyAlignment="1">
      <alignment horizontal="left" vertical="center" indent="2"/>
    </xf>
    <xf numFmtId="0" fontId="171" fillId="0" borderId="22" xfId="0" applyFont="1" applyBorder="1" applyAlignment="1">
      <alignment horizontal="left" vertical="center" indent="2"/>
    </xf>
    <xf numFmtId="0" fontId="171" fillId="0" borderId="22" xfId="0" quotePrefix="1" applyFont="1" applyBorder="1" applyAlignment="1">
      <alignment horizontal="left" vertical="center" indent="1"/>
    </xf>
    <xf numFmtId="0" fontId="230" fillId="0" borderId="15" xfId="0" applyFont="1" applyBorder="1" applyAlignment="1">
      <alignment vertical="center"/>
    </xf>
    <xf numFmtId="49" fontId="227" fillId="0" borderId="0" xfId="13" applyNumberFormat="1" applyFont="1" applyAlignment="1">
      <alignment vertical="center"/>
    </xf>
    <xf numFmtId="0" fontId="215" fillId="0" borderId="0" xfId="13" applyFont="1" applyAlignment="1">
      <alignment horizontal="left" vertical="center"/>
    </xf>
    <xf numFmtId="0" fontId="212" fillId="0" borderId="0" xfId="13" applyFont="1" applyAlignment="1">
      <alignment horizontal="center" vertical="center" textRotation="90"/>
    </xf>
    <xf numFmtId="0" fontId="212" fillId="0" borderId="0" xfId="13" applyFont="1" applyAlignment="1">
      <alignment horizontal="left" vertical="top"/>
    </xf>
    <xf numFmtId="0" fontId="212" fillId="0" borderId="0" xfId="13" applyFont="1" applyAlignment="1">
      <alignment horizontal="right" vertical="center"/>
    </xf>
    <xf numFmtId="0" fontId="206" fillId="0" borderId="78" xfId="0" applyFont="1" applyBorder="1" applyAlignment="1">
      <alignment horizontal="left"/>
    </xf>
    <xf numFmtId="3" fontId="144" fillId="9" borderId="85" xfId="9" applyNumberFormat="1" applyFont="1" applyFill="1" applyBorder="1" applyAlignment="1" applyProtection="1">
      <alignment horizontal="right" vertical="center" wrapText="1"/>
      <protection locked="0"/>
    </xf>
    <xf numFmtId="3" fontId="144" fillId="0" borderId="85" xfId="9" applyNumberFormat="1" applyFont="1" applyBorder="1" applyAlignment="1">
      <alignment vertical="center" wrapText="1"/>
    </xf>
    <xf numFmtId="9" fontId="102" fillId="12" borderId="0" xfId="15" applyFont="1" applyFill="1" applyAlignment="1">
      <alignment horizontal="left" vertical="center" wrapText="1"/>
    </xf>
    <xf numFmtId="0" fontId="169" fillId="0" borderId="0" xfId="9" applyFont="1" applyAlignment="1">
      <alignment horizontal="right" vertical="center"/>
    </xf>
    <xf numFmtId="3" fontId="120" fillId="0" borderId="0" xfId="0" applyNumberFormat="1" applyFont="1" applyAlignment="1">
      <alignment vertical="center"/>
    </xf>
    <xf numFmtId="49" fontId="112" fillId="0" borderId="79" xfId="0" applyNumberFormat="1" applyFont="1" applyBorder="1" applyAlignment="1" applyProtection="1">
      <alignment horizontal="left" vertical="center"/>
      <protection locked="0"/>
    </xf>
    <xf numFmtId="0" fontId="113" fillId="3" borderId="79" xfId="0" applyFont="1" applyFill="1" applyBorder="1" applyAlignment="1" applyProtection="1">
      <alignment horizontal="left" vertical="center"/>
      <protection locked="0"/>
    </xf>
    <xf numFmtId="49" fontId="113" fillId="0" borderId="79" xfId="0" applyNumberFormat="1" applyFont="1" applyBorder="1" applyAlignment="1" applyProtection="1">
      <alignment horizontal="left" vertical="center"/>
      <protection locked="0"/>
    </xf>
    <xf numFmtId="0" fontId="206" fillId="0" borderId="7" xfId="0" applyFont="1" applyBorder="1" applyAlignment="1">
      <alignment horizontal="left" vertical="center" wrapText="1"/>
    </xf>
    <xf numFmtId="0" fontId="113" fillId="2" borderId="78" xfId="9" applyFont="1" applyFill="1" applyBorder="1" applyAlignment="1" applyProtection="1">
      <alignment horizontal="left" vertical="center"/>
      <protection locked="0"/>
    </xf>
    <xf numFmtId="0" fontId="206" fillId="0" borderId="78" xfId="0" applyFont="1" applyBorder="1" applyAlignment="1">
      <alignment vertical="center"/>
    </xf>
    <xf numFmtId="0" fontId="247" fillId="0" borderId="0" xfId="9" applyFont="1" applyAlignment="1">
      <alignment horizontal="left"/>
    </xf>
    <xf numFmtId="0" fontId="250" fillId="0" borderId="0" xfId="6" applyFont="1" applyAlignment="1" applyProtection="1">
      <alignment shrinkToFit="1"/>
      <protection locked="0"/>
    </xf>
    <xf numFmtId="0" fontId="209" fillId="0" borderId="0" xfId="9" applyFont="1" applyAlignment="1">
      <alignment vertical="center"/>
    </xf>
    <xf numFmtId="0" fontId="206" fillId="0" borderId="232" xfId="9" applyFont="1" applyBorder="1" applyAlignment="1">
      <alignment horizontal="left"/>
    </xf>
    <xf numFmtId="0" fontId="206" fillId="0" borderId="223" xfId="9" applyFont="1" applyBorder="1" applyAlignment="1">
      <alignment vertical="center"/>
    </xf>
    <xf numFmtId="3" fontId="155" fillId="0" borderId="223" xfId="0" applyNumberFormat="1" applyFont="1" applyBorder="1" applyAlignment="1">
      <alignment vertical="center"/>
    </xf>
    <xf numFmtId="0" fontId="155" fillId="0" borderId="223" xfId="0" applyFont="1" applyBorder="1" applyAlignment="1">
      <alignment vertical="center"/>
    </xf>
    <xf numFmtId="49" fontId="206" fillId="0" borderId="230" xfId="9" applyNumberFormat="1" applyFont="1" applyBorder="1" applyAlignment="1">
      <alignment horizontal="right"/>
    </xf>
    <xf numFmtId="0" fontId="209" fillId="0" borderId="231" xfId="9" applyFont="1" applyBorder="1" applyAlignment="1">
      <alignment vertical="center"/>
    </xf>
    <xf numFmtId="0" fontId="209" fillId="0" borderId="227" xfId="9" applyFont="1" applyBorder="1" applyAlignment="1">
      <alignment horizontal="left" vertical="center" wrapText="1"/>
    </xf>
    <xf numFmtId="3" fontId="155" fillId="0" borderId="227" xfId="0" applyNumberFormat="1" applyFont="1" applyBorder="1" applyAlignment="1">
      <alignment vertical="center"/>
    </xf>
    <xf numFmtId="0" fontId="155" fillId="0" borderId="227" xfId="0" applyFont="1" applyBorder="1" applyAlignment="1">
      <alignment vertical="center"/>
    </xf>
    <xf numFmtId="10" fontId="155" fillId="0" borderId="228" xfId="18" applyNumberFormat="1" applyFont="1" applyBorder="1" applyAlignment="1" applyProtection="1">
      <alignment vertical="center"/>
      <protection locked="0"/>
    </xf>
    <xf numFmtId="0" fontId="209" fillId="0" borderId="233" xfId="9" applyFont="1" applyBorder="1" applyAlignment="1">
      <alignment vertical="center"/>
    </xf>
    <xf numFmtId="0" fontId="209" fillId="0" borderId="225" xfId="9" applyFont="1" applyBorder="1" applyAlignment="1">
      <alignment horizontal="left" vertical="center" wrapText="1"/>
    </xf>
    <xf numFmtId="3" fontId="155" fillId="0" borderId="225" xfId="0" applyNumberFormat="1" applyFont="1" applyBorder="1" applyAlignment="1">
      <alignment vertical="center"/>
    </xf>
    <xf numFmtId="0" fontId="155" fillId="0" borderId="225" xfId="0" applyFont="1" applyBorder="1" applyAlignment="1">
      <alignment vertical="center"/>
    </xf>
    <xf numFmtId="10" fontId="155" fillId="0" borderId="229" xfId="18" applyNumberFormat="1" applyFont="1" applyBorder="1" applyAlignment="1" applyProtection="1">
      <alignment vertical="center"/>
      <protection locked="0"/>
    </xf>
    <xf numFmtId="0" fontId="113" fillId="0" borderId="233" xfId="9" applyFont="1" applyBorder="1" applyAlignment="1">
      <alignment vertical="center"/>
    </xf>
    <xf numFmtId="0" fontId="113" fillId="0" borderId="225" xfId="9" applyFont="1" applyBorder="1" applyAlignment="1">
      <alignment vertical="center" wrapText="1"/>
    </xf>
    <xf numFmtId="10" fontId="113" fillId="0" borderId="224" xfId="18" applyNumberFormat="1" applyFont="1" applyBorder="1" applyAlignment="1">
      <alignment horizontal="right" vertical="center"/>
    </xf>
    <xf numFmtId="0" fontId="155" fillId="0" borderId="0" xfId="0" applyFont="1" applyAlignment="1">
      <alignment vertical="center"/>
    </xf>
    <xf numFmtId="3" fontId="155" fillId="0" borderId="0" xfId="0" applyNumberFormat="1" applyFont="1" applyAlignment="1">
      <alignment vertical="center"/>
    </xf>
    <xf numFmtId="0" fontId="209" fillId="0" borderId="0" xfId="0" applyFont="1" applyAlignment="1">
      <alignment vertical="top"/>
    </xf>
    <xf numFmtId="49" fontId="112" fillId="0" borderId="78" xfId="0" applyNumberFormat="1" applyFont="1" applyBorder="1" applyAlignment="1" applyProtection="1">
      <alignment horizontal="left" vertical="center"/>
      <protection locked="0"/>
    </xf>
    <xf numFmtId="0" fontId="113" fillId="0" borderId="78" xfId="0" applyFont="1" applyBorder="1" applyAlignment="1" applyProtection="1">
      <alignment horizontal="left" vertical="center" shrinkToFit="1"/>
      <protection locked="0"/>
    </xf>
    <xf numFmtId="0" fontId="124" fillId="0" borderId="0" xfId="6" applyFont="1" applyAlignment="1" applyProtection="1">
      <alignment vertical="center"/>
      <protection locked="0"/>
    </xf>
    <xf numFmtId="0" fontId="113" fillId="4" borderId="3" xfId="9" quotePrefix="1" applyFont="1" applyFill="1" applyBorder="1" applyAlignment="1" applyProtection="1">
      <alignment horizontal="left" vertical="center"/>
      <protection locked="0"/>
    </xf>
    <xf numFmtId="0" fontId="251" fillId="0" borderId="3" xfId="6" applyFont="1" applyBorder="1" applyAlignment="1" applyProtection="1">
      <alignment shrinkToFit="1"/>
      <protection locked="0"/>
    </xf>
    <xf numFmtId="0" fontId="206" fillId="0" borderId="3" xfId="9" applyFont="1" applyBorder="1" applyAlignment="1">
      <alignment horizontal="left"/>
    </xf>
    <xf numFmtId="0" fontId="206" fillId="0" borderId="3" xfId="9" applyFont="1" applyBorder="1"/>
    <xf numFmtId="0" fontId="105" fillId="0" borderId="0" xfId="0" applyFont="1" applyAlignment="1">
      <alignment horizontal="left" vertical="center"/>
    </xf>
    <xf numFmtId="0" fontId="108" fillId="0" borderId="0" xfId="0" applyFont="1" applyAlignment="1">
      <alignment vertical="center" wrapText="1"/>
    </xf>
    <xf numFmtId="0" fontId="107" fillId="0" borderId="0" xfId="0" applyFont="1" applyAlignment="1">
      <alignment horizontal="left" vertical="center"/>
    </xf>
    <xf numFmtId="0" fontId="206" fillId="0" borderId="0" xfId="0" applyFont="1"/>
    <xf numFmtId="0" fontId="109" fillId="0" borderId="0" xfId="0" applyFont="1" applyAlignment="1">
      <alignment vertical="center"/>
    </xf>
    <xf numFmtId="49" fontId="111" fillId="0" borderId="0" xfId="0" applyNumberFormat="1" applyFont="1" applyAlignment="1">
      <alignment horizontal="left" vertical="center"/>
    </xf>
    <xf numFmtId="0" fontId="206" fillId="0" borderId="79" xfId="0" applyFont="1" applyBorder="1" applyAlignment="1">
      <alignment horizontal="left" wrapText="1"/>
    </xf>
    <xf numFmtId="0" fontId="109" fillId="0" borderId="80" xfId="0" applyFont="1" applyBorder="1" applyAlignment="1">
      <alignment vertical="center" wrapText="1"/>
    </xf>
    <xf numFmtId="0" fontId="206" fillId="0" borderId="0" xfId="0" applyFont="1" applyAlignment="1">
      <alignment horizontal="left"/>
    </xf>
    <xf numFmtId="0" fontId="115" fillId="0" borderId="80" xfId="0" applyFont="1" applyBorder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206" fillId="0" borderId="79" xfId="0" applyFont="1" applyBorder="1" applyAlignment="1">
      <alignment horizontal="left" vertical="center" wrapText="1"/>
    </xf>
    <xf numFmtId="0" fontId="115" fillId="0" borderId="222" xfId="0" applyFont="1" applyBorder="1" applyAlignment="1">
      <alignment horizontal="left" vertical="center" wrapText="1"/>
    </xf>
    <xf numFmtId="0" fontId="114" fillId="0" borderId="222" xfId="0" applyFont="1" applyBorder="1" applyAlignment="1">
      <alignment vertical="center" wrapText="1"/>
    </xf>
    <xf numFmtId="0" fontId="208" fillId="0" borderId="0" xfId="0" applyFont="1" applyAlignment="1">
      <alignment vertical="center"/>
    </xf>
    <xf numFmtId="0" fontId="208" fillId="0" borderId="222" xfId="0" applyFont="1" applyBorder="1" applyAlignment="1">
      <alignment vertical="center"/>
    </xf>
    <xf numFmtId="0" fontId="114" fillId="0" borderId="82" xfId="0" applyFont="1" applyBorder="1" applyAlignment="1">
      <alignment vertical="center" wrapText="1"/>
    </xf>
    <xf numFmtId="0" fontId="208" fillId="0" borderId="82" xfId="0" applyFont="1" applyBorder="1" applyAlignment="1">
      <alignment vertical="center"/>
    </xf>
    <xf numFmtId="0" fontId="206" fillId="0" borderId="79" xfId="0" applyFont="1" applyBorder="1" applyAlignment="1">
      <alignment horizontal="left"/>
    </xf>
    <xf numFmtId="0" fontId="119" fillId="0" borderId="0" xfId="0" applyFont="1" applyAlignment="1">
      <alignment horizontal="left"/>
    </xf>
    <xf numFmtId="0" fontId="118" fillId="0" borderId="0" xfId="0" applyFont="1" applyAlignment="1">
      <alignment horizontal="left"/>
    </xf>
    <xf numFmtId="0" fontId="114" fillId="0" borderId="0" xfId="0" applyFont="1" applyAlignment="1">
      <alignment horizontal="left" vertical="center" wrapText="1"/>
    </xf>
    <xf numFmtId="3" fontId="108" fillId="0" borderId="80" xfId="0" applyNumberFormat="1" applyFont="1" applyBorder="1" applyAlignment="1">
      <alignment vertical="center"/>
    </xf>
    <xf numFmtId="0" fontId="119" fillId="0" borderId="0" xfId="0" applyFont="1" applyAlignment="1">
      <alignment horizontal="left" vertical="top"/>
    </xf>
    <xf numFmtId="0" fontId="206" fillId="0" borderId="79" xfId="0" applyFont="1" applyBorder="1" applyAlignment="1">
      <alignment vertical="center" wrapText="1"/>
    </xf>
    <xf numFmtId="0" fontId="210" fillId="0" borderId="0" xfId="0" applyFont="1" applyAlignment="1">
      <alignment wrapText="1"/>
    </xf>
    <xf numFmtId="0" fontId="210" fillId="0" borderId="0" xfId="0" applyFont="1" applyAlignment="1">
      <alignment horizontal="left" vertical="top" wrapText="1"/>
    </xf>
    <xf numFmtId="0" fontId="120" fillId="0" borderId="0" xfId="0" applyFont="1" applyAlignment="1">
      <alignment vertical="center" wrapText="1"/>
    </xf>
    <xf numFmtId="0" fontId="206" fillId="0" borderId="79" xfId="0" applyFont="1" applyBorder="1" applyAlignment="1">
      <alignment vertical="center"/>
    </xf>
    <xf numFmtId="0" fontId="206" fillId="0" borderId="78" xfId="0" applyFont="1" applyBorder="1" applyAlignment="1">
      <alignment horizontal="left" vertical="center"/>
    </xf>
    <xf numFmtId="0" fontId="109" fillId="0" borderId="0" xfId="0" applyFont="1" applyAlignment="1">
      <alignment horizontal="left" vertical="center" wrapText="1"/>
    </xf>
    <xf numFmtId="49" fontId="111" fillId="0" borderId="80" xfId="0" applyNumberFormat="1" applyFont="1" applyBorder="1" applyAlignment="1">
      <alignment horizontal="left" vertical="center"/>
    </xf>
    <xf numFmtId="0" fontId="206" fillId="0" borderId="1" xfId="0" applyFont="1" applyBorder="1" applyAlignment="1">
      <alignment horizontal="left" vertical="center"/>
    </xf>
    <xf numFmtId="169" fontId="113" fillId="0" borderId="79" xfId="0" applyNumberFormat="1" applyFont="1" applyBorder="1" applyAlignment="1" applyProtection="1">
      <alignment horizontal="left" vertical="center"/>
      <protection locked="0"/>
    </xf>
    <xf numFmtId="169" fontId="113" fillId="0" borderId="78" xfId="9" applyNumberFormat="1" applyFont="1" applyBorder="1" applyAlignment="1" applyProtection="1">
      <alignment horizontal="left" vertical="center"/>
      <protection locked="0"/>
    </xf>
    <xf numFmtId="0" fontId="102" fillId="0" borderId="0" xfId="15" applyNumberFormat="1" applyFont="1" applyAlignment="1">
      <alignment horizontal="left" vertical="center" wrapText="1"/>
    </xf>
    <xf numFmtId="0" fontId="27" fillId="0" borderId="0" xfId="9" applyFont="1"/>
    <xf numFmtId="167" fontId="8" fillId="0" borderId="0" xfId="13" applyNumberFormat="1" applyFont="1"/>
    <xf numFmtId="0" fontId="8" fillId="0" borderId="0" xfId="13" applyFont="1"/>
    <xf numFmtId="49" fontId="113" fillId="0" borderId="3" xfId="0" applyNumberFormat="1" applyFont="1" applyBorder="1" applyAlignment="1" applyProtection="1">
      <alignment horizontal="left" vertical="center"/>
      <protection locked="0"/>
    </xf>
    <xf numFmtId="0" fontId="252" fillId="0" borderId="0" xfId="14" applyFont="1"/>
    <xf numFmtId="0" fontId="253" fillId="0" borderId="0" xfId="14" applyFont="1"/>
    <xf numFmtId="0" fontId="254" fillId="0" borderId="0" xfId="14" applyFont="1" applyAlignment="1">
      <alignment horizontal="left" vertical="top" indent="3"/>
    </xf>
    <xf numFmtId="0" fontId="254" fillId="0" borderId="0" xfId="14" applyFont="1" applyAlignment="1">
      <alignment horizontal="left" vertical="center" indent="3"/>
    </xf>
    <xf numFmtId="0" fontId="255" fillId="0" borderId="0" xfId="14" applyFont="1" applyAlignment="1">
      <alignment horizontal="left" vertical="center" indent="2"/>
    </xf>
    <xf numFmtId="0" fontId="27" fillId="0" borderId="0" xfId="14" applyFont="1"/>
    <xf numFmtId="0" fontId="27" fillId="0" borderId="0" xfId="14" applyFont="1" applyAlignment="1">
      <alignment horizontal="left"/>
    </xf>
    <xf numFmtId="0" fontId="256" fillId="0" borderId="0" xfId="14" applyFont="1" applyAlignment="1">
      <alignment horizontal="left" indent="3"/>
    </xf>
    <xf numFmtId="0" fontId="8" fillId="0" borderId="0" xfId="14" applyFont="1"/>
    <xf numFmtId="165" fontId="212" fillId="0" borderId="238" xfId="5" applyFont="1" applyBorder="1" applyAlignment="1">
      <alignment horizontal="center"/>
    </xf>
    <xf numFmtId="0" fontId="227" fillId="0" borderId="0" xfId="0" applyFont="1" applyAlignment="1">
      <alignment horizontal="left" vertical="center"/>
    </xf>
    <xf numFmtId="49" fontId="218" fillId="0" borderId="0" xfId="13" applyNumberFormat="1" applyFont="1" applyAlignment="1">
      <alignment vertical="center"/>
    </xf>
    <xf numFmtId="0" fontId="219" fillId="0" borderId="0" xfId="13" applyFont="1" applyAlignment="1">
      <alignment horizontal="left" vertical="center"/>
    </xf>
    <xf numFmtId="0" fontId="257" fillId="0" borderId="0" xfId="13" applyFont="1" applyAlignment="1">
      <alignment horizontal="left" vertical="center"/>
    </xf>
    <xf numFmtId="0" fontId="258" fillId="0" borderId="14" xfId="13" quotePrefix="1" applyFont="1" applyBorder="1" applyAlignment="1">
      <alignment horizontal="right" vertical="center"/>
    </xf>
    <xf numFmtId="0" fontId="235" fillId="0" borderId="0" xfId="0" applyFont="1" applyAlignment="1">
      <alignment vertical="center"/>
    </xf>
    <xf numFmtId="0" fontId="79" fillId="0" borderId="0" xfId="9" applyFont="1"/>
    <xf numFmtId="177" fontId="179" fillId="0" borderId="0" xfId="13" applyNumberFormat="1" applyFont="1"/>
    <xf numFmtId="0" fontId="206" fillId="0" borderId="3" xfId="0" applyFont="1" applyBorder="1" applyAlignment="1">
      <alignment vertical="center"/>
    </xf>
    <xf numFmtId="0" fontId="206" fillId="0" borderId="3" xfId="0" applyFont="1" applyBorder="1" applyAlignment="1">
      <alignment wrapText="1"/>
    </xf>
    <xf numFmtId="0" fontId="113" fillId="2" borderId="3" xfId="0" applyFont="1" applyFill="1" applyBorder="1" applyAlignment="1" applyProtection="1">
      <alignment horizontal="left" vertical="center" wrapText="1"/>
      <protection locked="0"/>
    </xf>
    <xf numFmtId="49" fontId="206" fillId="0" borderId="3" xfId="0" applyNumberFormat="1" applyFont="1" applyBorder="1" applyAlignment="1">
      <alignment horizontal="left" vertical="center"/>
    </xf>
    <xf numFmtId="0" fontId="206" fillId="0" borderId="3" xfId="0" applyFont="1" applyBorder="1" applyAlignment="1">
      <alignment horizontal="left" vertical="center"/>
    </xf>
    <xf numFmtId="0" fontId="113" fillId="0" borderId="3" xfId="0" applyFont="1" applyBorder="1" applyAlignment="1">
      <alignment vertical="center"/>
    </xf>
    <xf numFmtId="49" fontId="113" fillId="4" borderId="79" xfId="0" applyNumberFormat="1" applyFont="1" applyFill="1" applyBorder="1" applyAlignment="1">
      <alignment horizontal="left" vertical="center" shrinkToFit="1"/>
    </xf>
    <xf numFmtId="49" fontId="113" fillId="4" borderId="0" xfId="0" applyNumberFormat="1" applyFont="1" applyFill="1" applyAlignment="1">
      <alignment horizontal="left" vertical="center" shrinkToFit="1"/>
    </xf>
    <xf numFmtId="49" fontId="206" fillId="0" borderId="0" xfId="0" applyNumberFormat="1" applyFont="1" applyAlignment="1">
      <alignment horizontal="left"/>
    </xf>
    <xf numFmtId="49" fontId="206" fillId="0" borderId="80" xfId="0" applyNumberFormat="1" applyFont="1" applyBorder="1" applyAlignment="1">
      <alignment horizontal="left"/>
    </xf>
    <xf numFmtId="49" fontId="113" fillId="2" borderId="79" xfId="0" applyNumberFormat="1" applyFont="1" applyFill="1" applyBorder="1" applyAlignment="1" applyProtection="1">
      <alignment horizontal="left" vertical="center"/>
      <protection locked="0"/>
    </xf>
    <xf numFmtId="49" fontId="113" fillId="2" borderId="0" xfId="0" applyNumberFormat="1" applyFont="1" applyFill="1" applyAlignment="1" applyProtection="1">
      <alignment horizontal="left" vertical="center"/>
      <protection locked="0"/>
    </xf>
    <xf numFmtId="0" fontId="210" fillId="0" borderId="0" xfId="0" applyFont="1" applyAlignment="1">
      <alignment horizontal="left" vertical="top" wrapText="1"/>
    </xf>
    <xf numFmtId="0" fontId="207" fillId="0" borderId="220" xfId="0" applyFont="1" applyBorder="1" applyAlignment="1">
      <alignment horizontal="center" vertical="center"/>
    </xf>
    <xf numFmtId="0" fontId="207" fillId="0" borderId="221" xfId="0" applyFont="1" applyBorder="1" applyAlignment="1">
      <alignment horizontal="center" vertical="center"/>
    </xf>
    <xf numFmtId="0" fontId="113" fillId="0" borderId="79" xfId="0" applyFont="1" applyBorder="1" applyAlignment="1" applyProtection="1">
      <alignment horizontal="left" vertical="center"/>
      <protection locked="0"/>
    </xf>
    <xf numFmtId="0" fontId="113" fillId="0" borderId="0" xfId="0" applyFont="1" applyAlignment="1" applyProtection="1">
      <alignment horizontal="left" vertical="center"/>
      <protection locked="0"/>
    </xf>
    <xf numFmtId="0" fontId="207" fillId="0" borderId="83" xfId="0" applyFont="1" applyBorder="1" applyAlignment="1">
      <alignment horizontal="center" vertical="center"/>
    </xf>
    <xf numFmtId="0" fontId="207" fillId="0" borderId="84" xfId="0" applyFont="1" applyBorder="1" applyAlignment="1">
      <alignment horizontal="center" vertical="center"/>
    </xf>
    <xf numFmtId="0" fontId="105" fillId="5" borderId="0" xfId="0" applyFont="1" applyFill="1" applyAlignment="1">
      <alignment horizontal="left" vertical="center"/>
    </xf>
    <xf numFmtId="0" fontId="209" fillId="0" borderId="0" xfId="0" applyFont="1" applyAlignment="1">
      <alignment horizontal="left" vertical="top" wrapText="1"/>
    </xf>
    <xf numFmtId="0" fontId="113" fillId="2" borderId="0" xfId="9" applyFont="1" applyFill="1" applyAlignment="1" applyProtection="1">
      <alignment horizontal="left" vertical="center"/>
      <protection locked="0"/>
    </xf>
    <xf numFmtId="0" fontId="113" fillId="0" borderId="77" xfId="0" applyFont="1" applyBorder="1" applyAlignment="1" applyProtection="1">
      <alignment horizontal="left" vertical="center"/>
      <protection locked="0"/>
    </xf>
    <xf numFmtId="49" fontId="113" fillId="0" borderId="79" xfId="0" applyNumberFormat="1" applyFont="1" applyBorder="1" applyAlignment="1" applyProtection="1">
      <alignment horizontal="left" vertical="center" shrinkToFit="1"/>
      <protection locked="0"/>
    </xf>
    <xf numFmtId="49" fontId="113" fillId="0" borderId="0" xfId="0" applyNumberFormat="1" applyFont="1" applyAlignment="1" applyProtection="1">
      <alignment horizontal="left" vertical="center" shrinkToFit="1"/>
      <protection locked="0"/>
    </xf>
    <xf numFmtId="0" fontId="205" fillId="0" borderId="0" xfId="0" applyFont="1" applyAlignment="1">
      <alignment horizontal="right" vertical="center"/>
    </xf>
    <xf numFmtId="0" fontId="249" fillId="0" borderId="0" xfId="0" applyFont="1" applyAlignment="1">
      <alignment horizontal="center"/>
    </xf>
    <xf numFmtId="0" fontId="205" fillId="0" borderId="0" xfId="0" quotePrefix="1" applyFont="1" applyAlignment="1">
      <alignment horizontal="center"/>
    </xf>
    <xf numFmtId="169" fontId="113" fillId="0" borderId="77" xfId="0" applyNumberFormat="1" applyFont="1" applyBorder="1" applyAlignment="1" applyProtection="1">
      <alignment horizontal="left" vertical="center"/>
      <protection locked="0"/>
    </xf>
    <xf numFmtId="169" fontId="113" fillId="0" borderId="0" xfId="0" applyNumberFormat="1" applyFont="1" applyAlignment="1" applyProtection="1">
      <alignment horizontal="left" vertical="center"/>
      <protection locked="0"/>
    </xf>
    <xf numFmtId="0" fontId="211" fillId="0" borderId="0" xfId="0" applyFont="1" applyAlignment="1">
      <alignment horizontal="left" vertical="center"/>
    </xf>
    <xf numFmtId="49" fontId="113" fillId="0" borderId="80" xfId="0" applyNumberFormat="1" applyFont="1" applyBorder="1" applyAlignment="1" applyProtection="1">
      <alignment horizontal="left" vertical="center" shrinkToFit="1"/>
      <protection locked="0"/>
    </xf>
    <xf numFmtId="49" fontId="113" fillId="0" borderId="0" xfId="0" applyNumberFormat="1" applyFont="1" applyAlignment="1" applyProtection="1">
      <alignment horizontal="left" vertical="center"/>
      <protection locked="0"/>
    </xf>
    <xf numFmtId="0" fontId="113" fillId="0" borderId="0" xfId="0" applyFont="1" applyAlignment="1" applyProtection="1">
      <alignment horizontal="left" vertical="center" shrinkToFit="1"/>
      <protection locked="0"/>
    </xf>
    <xf numFmtId="0" fontId="113" fillId="0" borderId="80" xfId="0" applyFont="1" applyBorder="1" applyAlignment="1" applyProtection="1">
      <alignment horizontal="left" vertical="center" shrinkToFit="1"/>
      <protection locked="0"/>
    </xf>
    <xf numFmtId="0" fontId="209" fillId="0" borderId="0" xfId="0" applyFont="1" applyAlignment="1">
      <alignment horizontal="left" vertical="top"/>
    </xf>
    <xf numFmtId="49" fontId="209" fillId="0" borderId="226" xfId="9" applyNumberFormat="1" applyFont="1" applyBorder="1" applyAlignment="1" applyProtection="1">
      <alignment horizontal="left" vertical="center"/>
      <protection locked="0"/>
    </xf>
    <xf numFmtId="49" fontId="209" fillId="0" borderId="225" xfId="9" applyNumberFormat="1" applyFont="1" applyBorder="1" applyAlignment="1" applyProtection="1">
      <alignment horizontal="left" vertical="center"/>
      <protection locked="0"/>
    </xf>
    <xf numFmtId="49" fontId="209" fillId="13" borderId="225" xfId="9" applyNumberFormat="1" applyFont="1" applyFill="1" applyBorder="1" applyAlignment="1" applyProtection="1">
      <alignment horizontal="left" vertical="center"/>
      <protection locked="0"/>
    </xf>
    <xf numFmtId="0" fontId="209" fillId="3" borderId="225" xfId="9" applyFont="1" applyFill="1" applyBorder="1" applyAlignment="1" applyProtection="1">
      <alignment horizontal="left" vertical="center"/>
      <protection locked="0"/>
    </xf>
    <xf numFmtId="1" fontId="53" fillId="0" borderId="0" xfId="0" applyNumberFormat="1" applyFont="1" applyAlignment="1">
      <alignment horizontal="left" vertical="top" textRotation="90"/>
    </xf>
    <xf numFmtId="0" fontId="134" fillId="0" borderId="0" xfId="9" applyFont="1" applyAlignment="1">
      <alignment horizontal="center" vertical="center"/>
    </xf>
    <xf numFmtId="0" fontId="181" fillId="0" borderId="0" xfId="9" applyFont="1" applyAlignment="1">
      <alignment horizontal="center" vertical="center"/>
    </xf>
    <xf numFmtId="0" fontId="212" fillId="0" borderId="0" xfId="9" applyFont="1" applyAlignment="1">
      <alignment horizontal="right" vertical="top" wrapText="1"/>
    </xf>
    <xf numFmtId="0" fontId="146" fillId="0" borderId="0" xfId="9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0" fontId="157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top"/>
    </xf>
    <xf numFmtId="0" fontId="221" fillId="0" borderId="8" xfId="0" applyFont="1" applyBorder="1" applyAlignment="1">
      <alignment horizontal="right" vertical="center"/>
    </xf>
    <xf numFmtId="0" fontId="110" fillId="0" borderId="2" xfId="0" applyFont="1" applyBorder="1" applyAlignment="1">
      <alignment horizontal="center" vertical="center" wrapText="1"/>
    </xf>
    <xf numFmtId="0" fontId="110" fillId="0" borderId="2" xfId="0" applyFont="1" applyBorder="1" applyAlignment="1">
      <alignment horizontal="center" vertical="center"/>
    </xf>
    <xf numFmtId="49" fontId="115" fillId="0" borderId="2" xfId="0" applyNumberFormat="1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/>
    </xf>
    <xf numFmtId="49" fontId="110" fillId="0" borderId="2" xfId="0" applyNumberFormat="1" applyFont="1" applyBorder="1" applyAlignment="1">
      <alignment horizontal="center" vertical="center"/>
    </xf>
    <xf numFmtId="0" fontId="110" fillId="0" borderId="2" xfId="0" applyFont="1" applyBorder="1" applyAlignment="1">
      <alignment vertical="center" wrapText="1"/>
    </xf>
    <xf numFmtId="3" fontId="110" fillId="0" borderId="2" xfId="1" applyNumberFormat="1" applyFont="1" applyBorder="1" applyAlignment="1" applyProtection="1">
      <alignment horizontal="right" vertical="center"/>
      <protection locked="0"/>
    </xf>
    <xf numFmtId="49" fontId="157" fillId="0" borderId="2" xfId="0" applyNumberFormat="1" applyFont="1" applyBorder="1" applyAlignment="1">
      <alignment horizontal="center" vertical="center"/>
    </xf>
    <xf numFmtId="0" fontId="157" fillId="0" borderId="2" xfId="0" applyFont="1" applyBorder="1" applyAlignment="1">
      <alignment vertical="center" wrapText="1"/>
    </xf>
    <xf numFmtId="3" fontId="157" fillId="0" borderId="2" xfId="1" applyNumberFormat="1" applyFont="1" applyBorder="1" applyAlignment="1">
      <alignment horizontal="right" vertical="center"/>
    </xf>
    <xf numFmtId="0" fontId="157" fillId="0" borderId="9" xfId="0" applyFont="1" applyBorder="1" applyAlignment="1">
      <alignment vertical="center" wrapText="1"/>
    </xf>
    <xf numFmtId="0" fontId="157" fillId="0" borderId="10" xfId="0" applyFont="1" applyBorder="1" applyAlignment="1">
      <alignment vertical="center" wrapText="1"/>
    </xf>
    <xf numFmtId="0" fontId="157" fillId="0" borderId="11" xfId="0" applyFont="1" applyBorder="1" applyAlignment="1">
      <alignment vertical="center" wrapText="1"/>
    </xf>
    <xf numFmtId="0" fontId="157" fillId="0" borderId="2" xfId="0" applyFont="1" applyBorder="1" applyAlignment="1">
      <alignment horizontal="center" vertical="center"/>
    </xf>
    <xf numFmtId="3" fontId="157" fillId="0" borderId="9" xfId="1" applyNumberFormat="1" applyFont="1" applyBorder="1" applyAlignment="1" applyProtection="1">
      <alignment horizontal="right" vertical="center"/>
      <protection locked="0"/>
    </xf>
    <xf numFmtId="3" fontId="157" fillId="0" borderId="10" xfId="1" applyNumberFormat="1" applyFont="1" applyBorder="1" applyAlignment="1" applyProtection="1">
      <alignment horizontal="right" vertical="center"/>
      <protection locked="0"/>
    </xf>
    <xf numFmtId="3" fontId="157" fillId="0" borderId="11" xfId="1" applyNumberFormat="1" applyFont="1" applyBorder="1" applyAlignment="1" applyProtection="1">
      <alignment horizontal="right" vertical="center"/>
      <protection locked="0"/>
    </xf>
    <xf numFmtId="3" fontId="157" fillId="0" borderId="9" xfId="1" applyNumberFormat="1" applyFont="1" applyBorder="1" applyAlignment="1">
      <alignment horizontal="right" vertical="center"/>
    </xf>
    <xf numFmtId="3" fontId="157" fillId="0" borderId="10" xfId="1" applyNumberFormat="1" applyFont="1" applyBorder="1" applyAlignment="1">
      <alignment horizontal="right" vertical="center"/>
    </xf>
    <xf numFmtId="3" fontId="157" fillId="0" borderId="11" xfId="1" applyNumberFormat="1" applyFont="1" applyBorder="1" applyAlignment="1">
      <alignment horizontal="right" vertical="center"/>
    </xf>
    <xf numFmtId="3" fontId="110" fillId="0" borderId="9" xfId="1" applyNumberFormat="1" applyFont="1" applyBorder="1" applyAlignment="1" applyProtection="1">
      <alignment horizontal="right" vertical="center"/>
      <protection locked="0"/>
    </xf>
    <xf numFmtId="3" fontId="110" fillId="0" borderId="10" xfId="1" applyNumberFormat="1" applyFont="1" applyBorder="1" applyAlignment="1" applyProtection="1">
      <alignment horizontal="right" vertical="center"/>
      <protection locked="0"/>
    </xf>
    <xf numFmtId="3" fontId="110" fillId="0" borderId="11" xfId="1" applyNumberFormat="1" applyFont="1" applyBorder="1" applyAlignment="1" applyProtection="1">
      <alignment horizontal="right" vertical="center"/>
      <protection locked="0"/>
    </xf>
    <xf numFmtId="169" fontId="110" fillId="0" borderId="0" xfId="0" applyNumberFormat="1" applyFont="1" applyAlignment="1">
      <alignment horizontal="left"/>
    </xf>
    <xf numFmtId="49" fontId="157" fillId="0" borderId="9" xfId="0" applyNumberFormat="1" applyFont="1" applyBorder="1" applyAlignment="1">
      <alignment horizontal="center" vertical="center"/>
    </xf>
    <xf numFmtId="49" fontId="157" fillId="0" borderId="76" xfId="0" applyNumberFormat="1" applyFont="1" applyBorder="1" applyAlignment="1">
      <alignment horizontal="center" vertical="center"/>
    </xf>
    <xf numFmtId="0" fontId="157" fillId="0" borderId="76" xfId="0" applyFont="1" applyBorder="1" applyAlignment="1">
      <alignment vertical="center" wrapText="1"/>
    </xf>
    <xf numFmtId="1" fontId="57" fillId="0" borderId="0" xfId="0" applyNumberFormat="1" applyFont="1" applyAlignment="1">
      <alignment horizontal="center" vertical="top" textRotation="90"/>
    </xf>
    <xf numFmtId="1" fontId="154" fillId="0" borderId="0" xfId="0" applyNumberFormat="1" applyFont="1" applyAlignment="1">
      <alignment horizontal="left"/>
    </xf>
    <xf numFmtId="0" fontId="224" fillId="0" borderId="0" xfId="0" applyFont="1" applyAlignment="1">
      <alignment horizontal="center" vertical="center"/>
    </xf>
    <xf numFmtId="0" fontId="150" fillId="0" borderId="0" xfId="0" applyFont="1" applyAlignment="1">
      <alignment horizontal="center" vertical="center"/>
    </xf>
    <xf numFmtId="0" fontId="147" fillId="0" borderId="116" xfId="13" applyFont="1" applyBorder="1" applyAlignment="1">
      <alignment horizontal="center" vertical="center" wrapText="1"/>
    </xf>
    <xf numFmtId="0" fontId="147" fillId="0" borderId="117" xfId="13" applyFont="1" applyBorder="1" applyAlignment="1">
      <alignment horizontal="center" vertical="center" wrapText="1"/>
    </xf>
    <xf numFmtId="0" fontId="147" fillId="0" borderId="118" xfId="13" applyFont="1" applyBorder="1" applyAlignment="1">
      <alignment horizontal="center" vertical="center" wrapText="1"/>
    </xf>
    <xf numFmtId="0" fontId="147" fillId="0" borderId="120" xfId="13" applyFont="1" applyBorder="1" applyAlignment="1">
      <alignment horizontal="center" vertical="center" wrapText="1"/>
    </xf>
    <xf numFmtId="0" fontId="147" fillId="0" borderId="8" xfId="13" applyFont="1" applyBorder="1" applyAlignment="1">
      <alignment horizontal="center" vertical="center" wrapText="1"/>
    </xf>
    <xf numFmtId="0" fontId="147" fillId="0" borderId="115" xfId="13" applyFont="1" applyBorder="1" applyAlignment="1">
      <alignment horizontal="center" vertical="center" wrapText="1"/>
    </xf>
    <xf numFmtId="0" fontId="147" fillId="0" borderId="116" xfId="13" applyFont="1" applyBorder="1" applyAlignment="1">
      <alignment horizontal="center" vertical="center"/>
    </xf>
    <xf numFmtId="0" fontId="147" fillId="0" borderId="117" xfId="13" applyFont="1" applyBorder="1" applyAlignment="1">
      <alignment horizontal="center" vertical="center"/>
    </xf>
    <xf numFmtId="0" fontId="147" fillId="0" borderId="118" xfId="13" applyFont="1" applyBorder="1" applyAlignment="1">
      <alignment horizontal="center" vertical="center"/>
    </xf>
    <xf numFmtId="0" fontId="147" fillId="0" borderId="120" xfId="13" applyFont="1" applyBorder="1" applyAlignment="1">
      <alignment horizontal="center" vertical="center"/>
    </xf>
    <xf numFmtId="0" fontId="147" fillId="0" borderId="8" xfId="13" applyFont="1" applyBorder="1" applyAlignment="1">
      <alignment horizontal="center" vertical="center"/>
    </xf>
    <xf numFmtId="0" fontId="147" fillId="0" borderId="115" xfId="13" applyFont="1" applyBorder="1" applyAlignment="1">
      <alignment horizontal="center" vertical="center"/>
    </xf>
    <xf numFmtId="0" fontId="147" fillId="0" borderId="76" xfId="13" applyFont="1" applyBorder="1" applyAlignment="1">
      <alignment horizontal="center" vertical="center" wrapText="1"/>
    </xf>
    <xf numFmtId="0" fontId="147" fillId="0" borderId="119" xfId="13" applyFont="1" applyBorder="1" applyAlignment="1">
      <alignment horizontal="center" vertical="center" wrapText="1"/>
    </xf>
    <xf numFmtId="0" fontId="147" fillId="0" borderId="9" xfId="13" applyFont="1" applyBorder="1" applyAlignment="1">
      <alignment horizontal="center" vertical="center"/>
    </xf>
    <xf numFmtId="0" fontId="147" fillId="0" borderId="10" xfId="13" applyFont="1" applyBorder="1" applyAlignment="1">
      <alignment horizontal="center" vertical="center"/>
    </xf>
    <xf numFmtId="0" fontId="147" fillId="0" borderId="11" xfId="13" applyFont="1" applyBorder="1" applyAlignment="1">
      <alignment horizontal="center" vertical="center"/>
    </xf>
    <xf numFmtId="0" fontId="147" fillId="0" borderId="9" xfId="13" applyFont="1" applyBorder="1" applyAlignment="1">
      <alignment horizontal="center" vertical="center" wrapText="1"/>
    </xf>
    <xf numFmtId="0" fontId="147" fillId="0" borderId="10" xfId="13" applyFont="1" applyBorder="1" applyAlignment="1">
      <alignment horizontal="center" vertical="center" wrapText="1"/>
    </xf>
    <xf numFmtId="0" fontId="147" fillId="0" borderId="11" xfId="13" applyFont="1" applyBorder="1" applyAlignment="1">
      <alignment horizontal="center" vertical="center" wrapText="1"/>
    </xf>
    <xf numFmtId="0" fontId="110" fillId="0" borderId="9" xfId="13" applyFont="1" applyBorder="1" applyAlignment="1">
      <alignment horizontal="center" vertical="center"/>
    </xf>
    <xf numFmtId="0" fontId="110" fillId="0" borderId="10" xfId="13" applyFont="1" applyBorder="1" applyAlignment="1">
      <alignment horizontal="center" vertical="center"/>
    </xf>
    <xf numFmtId="0" fontId="110" fillId="0" borderId="11" xfId="13" applyFont="1" applyBorder="1" applyAlignment="1">
      <alignment horizontal="center" vertical="center"/>
    </xf>
    <xf numFmtId="0" fontId="129" fillId="0" borderId="9" xfId="13" applyFont="1" applyBorder="1" applyAlignment="1">
      <alignment horizontal="center" vertical="center"/>
    </xf>
    <xf numFmtId="0" fontId="129" fillId="0" borderId="10" xfId="13" applyFont="1" applyBorder="1" applyAlignment="1">
      <alignment horizontal="center" vertical="center"/>
    </xf>
    <xf numFmtId="0" fontId="129" fillId="0" borderId="11" xfId="13" applyFont="1" applyBorder="1" applyAlignment="1">
      <alignment horizontal="center" vertical="center"/>
    </xf>
    <xf numFmtId="3" fontId="129" fillId="0" borderId="9" xfId="5" applyNumberFormat="1" applyFont="1" applyBorder="1" applyAlignment="1" applyProtection="1">
      <alignment horizontal="right" vertical="center"/>
      <protection locked="0"/>
    </xf>
    <xf numFmtId="3" fontId="129" fillId="0" borderId="10" xfId="5" applyNumberFormat="1" applyFont="1" applyBorder="1" applyAlignment="1" applyProtection="1">
      <alignment horizontal="right" vertical="center"/>
      <protection locked="0"/>
    </xf>
    <xf numFmtId="3" fontId="129" fillId="0" borderId="11" xfId="5" applyNumberFormat="1" applyFont="1" applyBorder="1" applyAlignment="1" applyProtection="1">
      <alignment horizontal="right" vertical="center"/>
      <protection locked="0"/>
    </xf>
    <xf numFmtId="3" fontId="147" fillId="0" borderId="9" xfId="5" applyNumberFormat="1" applyFont="1" applyBorder="1" applyAlignment="1">
      <alignment horizontal="right" vertical="center"/>
    </xf>
    <xf numFmtId="3" fontId="147" fillId="0" borderId="10" xfId="5" applyNumberFormat="1" applyFont="1" applyBorder="1" applyAlignment="1">
      <alignment horizontal="right" vertical="center"/>
    </xf>
    <xf numFmtId="3" fontId="147" fillId="0" borderId="11" xfId="5" applyNumberFormat="1" applyFont="1" applyBorder="1" applyAlignment="1">
      <alignment horizontal="right" vertical="center"/>
    </xf>
    <xf numFmtId="0" fontId="154" fillId="0" borderId="0" xfId="1" applyNumberFormat="1" applyFont="1" applyAlignment="1">
      <alignment horizontal="left" wrapText="1"/>
    </xf>
    <xf numFmtId="169" fontId="147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 textRotation="90" wrapText="1"/>
    </xf>
    <xf numFmtId="1" fontId="16" fillId="0" borderId="0" xfId="0" applyNumberFormat="1" applyFont="1" applyAlignment="1">
      <alignment horizontal="left" vertical="center"/>
    </xf>
    <xf numFmtId="1" fontId="52" fillId="0" borderId="0" xfId="0" applyNumberFormat="1" applyFont="1" applyAlignment="1">
      <alignment horizontal="center" vertical="top" textRotation="90"/>
    </xf>
    <xf numFmtId="0" fontId="219" fillId="0" borderId="0" xfId="0" applyFont="1" applyAlignment="1">
      <alignment horizontal="left" vertical="top"/>
    </xf>
    <xf numFmtId="3" fontId="171" fillId="0" borderId="5" xfId="1" applyNumberFormat="1" applyFont="1" applyBorder="1" applyAlignment="1" applyProtection="1">
      <alignment horizontal="right" vertical="center"/>
      <protection locked="0"/>
    </xf>
    <xf numFmtId="3" fontId="171" fillId="0" borderId="4" xfId="1" applyNumberFormat="1" applyFont="1" applyBorder="1" applyAlignment="1" applyProtection="1">
      <alignment horizontal="right" vertical="center"/>
      <protection locked="0"/>
    </xf>
    <xf numFmtId="3" fontId="171" fillId="0" borderId="32" xfId="1" applyNumberFormat="1" applyFont="1" applyBorder="1" applyAlignment="1" applyProtection="1">
      <alignment horizontal="right" vertical="center"/>
      <protection locked="0"/>
    </xf>
    <xf numFmtId="3" fontId="230" fillId="0" borderId="5" xfId="1" applyNumberFormat="1" applyFont="1" applyBorder="1" applyAlignment="1" applyProtection="1">
      <alignment horizontal="right" vertical="center"/>
      <protection locked="0"/>
    </xf>
    <xf numFmtId="3" fontId="230" fillId="0" borderId="4" xfId="1" applyNumberFormat="1" applyFont="1" applyBorder="1" applyAlignment="1" applyProtection="1">
      <alignment horizontal="right" vertical="center"/>
      <protection locked="0"/>
    </xf>
    <xf numFmtId="3" fontId="230" fillId="0" borderId="32" xfId="1" applyNumberFormat="1" applyFont="1" applyBorder="1" applyAlignment="1" applyProtection="1">
      <alignment horizontal="right" vertical="center"/>
      <protection locked="0"/>
    </xf>
    <xf numFmtId="3" fontId="230" fillId="0" borderId="5" xfId="1" applyNumberFormat="1" applyFont="1" applyBorder="1" applyAlignment="1">
      <alignment horizontal="right" vertical="center"/>
    </xf>
    <xf numFmtId="3" fontId="230" fillId="0" borderId="4" xfId="1" applyNumberFormat="1" applyFont="1" applyBorder="1" applyAlignment="1">
      <alignment horizontal="right" vertical="center"/>
    </xf>
    <xf numFmtId="3" fontId="230" fillId="0" borderId="32" xfId="1" applyNumberFormat="1" applyFont="1" applyBorder="1" applyAlignment="1">
      <alignment horizontal="right" vertical="center"/>
    </xf>
    <xf numFmtId="0" fontId="230" fillId="0" borderId="34" xfId="0" quotePrefix="1" applyFont="1" applyBorder="1" applyAlignment="1">
      <alignment horizontal="left" vertical="center"/>
    </xf>
    <xf numFmtId="0" fontId="230" fillId="0" borderId="4" xfId="0" applyFont="1" applyBorder="1" applyAlignment="1">
      <alignment horizontal="left" vertical="center"/>
    </xf>
    <xf numFmtId="0" fontId="230" fillId="0" borderId="34" xfId="0" applyFont="1" applyBorder="1" applyAlignment="1">
      <alignment horizontal="left" vertical="center"/>
    </xf>
    <xf numFmtId="3" fontId="171" fillId="0" borderId="30" xfId="1" applyNumberFormat="1" applyFont="1" applyBorder="1" applyAlignment="1" applyProtection="1">
      <alignment horizontal="right" vertical="center"/>
      <protection locked="0"/>
    </xf>
    <xf numFmtId="3" fontId="171" fillId="0" borderId="29" xfId="1" applyNumberFormat="1" applyFont="1" applyBorder="1" applyAlignment="1" applyProtection="1">
      <alignment horizontal="right" vertical="center"/>
      <protection locked="0"/>
    </xf>
    <xf numFmtId="3" fontId="171" fillId="0" borderId="28" xfId="1" applyNumberFormat="1" applyFont="1" applyBorder="1" applyAlignment="1" applyProtection="1">
      <alignment horizontal="right" vertical="center"/>
      <protection locked="0"/>
    </xf>
    <xf numFmtId="49" fontId="171" fillId="0" borderId="27" xfId="0" applyNumberFormat="1" applyFont="1" applyBorder="1" applyAlignment="1">
      <alignment horizontal="center" vertical="center" wrapText="1"/>
    </xf>
    <xf numFmtId="49" fontId="171" fillId="0" borderId="25" xfId="0" applyNumberFormat="1" applyFont="1" applyBorder="1" applyAlignment="1">
      <alignment horizontal="center" vertical="center" wrapText="1"/>
    </xf>
    <xf numFmtId="49" fontId="171" fillId="0" borderId="20" xfId="0" applyNumberFormat="1" applyFont="1" applyBorder="1" applyAlignment="1">
      <alignment horizontal="center" vertical="center" wrapText="1"/>
    </xf>
    <xf numFmtId="49" fontId="171" fillId="0" borderId="18" xfId="0" applyNumberFormat="1" applyFont="1" applyBorder="1" applyAlignment="1">
      <alignment horizontal="center" vertical="center" wrapText="1"/>
    </xf>
    <xf numFmtId="0" fontId="230" fillId="0" borderId="26" xfId="0" applyFont="1" applyBorder="1" applyAlignment="1">
      <alignment horizontal="center" vertical="center"/>
    </xf>
    <xf numFmtId="0" fontId="230" fillId="0" borderId="25" xfId="0" applyFont="1" applyBorder="1" applyAlignment="1">
      <alignment horizontal="center" vertical="center"/>
    </xf>
    <xf numFmtId="0" fontId="230" fillId="0" borderId="24" xfId="0" applyFont="1" applyBorder="1" applyAlignment="1">
      <alignment horizontal="center" vertical="center"/>
    </xf>
    <xf numFmtId="0" fontId="230" fillId="0" borderId="19" xfId="0" applyFont="1" applyBorder="1" applyAlignment="1">
      <alignment horizontal="center" vertical="center"/>
    </xf>
    <xf numFmtId="0" fontId="230" fillId="0" borderId="18" xfId="0" applyFont="1" applyBorder="1" applyAlignment="1">
      <alignment horizontal="center" vertical="center"/>
    </xf>
    <xf numFmtId="0" fontId="230" fillId="0" borderId="17" xfId="0" applyFont="1" applyBorder="1" applyAlignment="1">
      <alignment horizontal="center" vertical="center"/>
    </xf>
    <xf numFmtId="1" fontId="72" fillId="0" borderId="0" xfId="0" applyNumberFormat="1" applyFont="1" applyAlignment="1">
      <alignment horizontal="center" vertical="top" textRotation="90"/>
    </xf>
    <xf numFmtId="0" fontId="227" fillId="0" borderId="50" xfId="0" applyFont="1" applyBorder="1" applyAlignment="1">
      <alignment horizontal="center" vertical="center"/>
    </xf>
    <xf numFmtId="0" fontId="227" fillId="0" borderId="49" xfId="0" applyFont="1" applyBorder="1" applyAlignment="1">
      <alignment horizontal="center" vertical="center"/>
    </xf>
    <xf numFmtId="0" fontId="227" fillId="0" borderId="48" xfId="0" applyFont="1" applyBorder="1" applyAlignment="1">
      <alignment horizontal="center" vertical="center"/>
    </xf>
    <xf numFmtId="0" fontId="228" fillId="0" borderId="47" xfId="0" applyFont="1" applyBorder="1" applyAlignment="1">
      <alignment horizontal="center" vertical="center"/>
    </xf>
    <xf numFmtId="0" fontId="228" fillId="0" borderId="42" xfId="0" applyFont="1" applyBorder="1" applyAlignment="1">
      <alignment horizontal="center" vertical="center"/>
    </xf>
    <xf numFmtId="0" fontId="228" fillId="0" borderId="46" xfId="0" applyFont="1" applyBorder="1" applyAlignment="1">
      <alignment horizontal="center" vertical="center"/>
    </xf>
    <xf numFmtId="0" fontId="212" fillId="0" borderId="123" xfId="13" applyFont="1" applyBorder="1" applyAlignment="1">
      <alignment horizontal="center" vertical="top"/>
    </xf>
    <xf numFmtId="0" fontId="145" fillId="0" borderId="0" xfId="0" applyFont="1" applyAlignment="1">
      <alignment horizontal="center" vertical="center"/>
    </xf>
    <xf numFmtId="3" fontId="171" fillId="0" borderId="19" xfId="1" applyNumberFormat="1" applyFont="1" applyBorder="1" applyAlignment="1" applyProtection="1">
      <alignment horizontal="right" vertical="center"/>
      <protection locked="0"/>
    </xf>
    <xf numFmtId="3" fontId="171" fillId="0" borderId="18" xfId="1" applyNumberFormat="1" applyFont="1" applyBorder="1" applyAlignment="1" applyProtection="1">
      <alignment horizontal="right" vertical="center"/>
      <protection locked="0"/>
    </xf>
    <xf numFmtId="3" fontId="171" fillId="0" borderId="17" xfId="1" applyNumberFormat="1" applyFont="1" applyBorder="1" applyAlignment="1" applyProtection="1">
      <alignment horizontal="right" vertical="center"/>
      <protection locked="0"/>
    </xf>
    <xf numFmtId="0" fontId="171" fillId="0" borderId="23" xfId="0" applyFont="1" applyBorder="1" applyAlignment="1">
      <alignment horizontal="left" vertical="center"/>
    </xf>
    <xf numFmtId="0" fontId="171" fillId="0" borderId="0" xfId="0" applyFont="1" applyAlignment="1">
      <alignment horizontal="left" vertical="center"/>
    </xf>
    <xf numFmtId="0" fontId="171" fillId="0" borderId="20" xfId="0" applyFont="1" applyBorder="1" applyAlignment="1">
      <alignment horizontal="left" vertical="center"/>
    </xf>
    <xf numFmtId="0" fontId="171" fillId="0" borderId="18" xfId="0" applyFont="1" applyBorder="1" applyAlignment="1">
      <alignment horizontal="left" vertical="center"/>
    </xf>
    <xf numFmtId="3" fontId="171" fillId="0" borderId="22" xfId="1" applyNumberFormat="1" applyFont="1" applyBorder="1" applyAlignment="1" applyProtection="1">
      <alignment horizontal="right" vertical="center"/>
      <protection locked="0"/>
    </xf>
    <xf numFmtId="3" fontId="171" fillId="0" borderId="0" xfId="1" applyNumberFormat="1" applyFont="1" applyAlignment="1" applyProtection="1">
      <alignment horizontal="right" vertical="center"/>
      <protection locked="0"/>
    </xf>
    <xf numFmtId="3" fontId="171" fillId="0" borderId="21" xfId="1" applyNumberFormat="1" applyFont="1" applyBorder="1" applyAlignment="1" applyProtection="1">
      <alignment horizontal="right" vertical="center"/>
      <protection locked="0"/>
    </xf>
    <xf numFmtId="0" fontId="230" fillId="0" borderId="23" xfId="0" applyFont="1" applyBorder="1" applyAlignment="1">
      <alignment horizontal="left" vertical="center"/>
    </xf>
    <xf numFmtId="0" fontId="230" fillId="0" borderId="0" xfId="0" applyFont="1" applyAlignment="1">
      <alignment horizontal="left" vertical="center"/>
    </xf>
    <xf numFmtId="0" fontId="230" fillId="0" borderId="20" xfId="0" applyFont="1" applyBorder="1" applyAlignment="1">
      <alignment horizontal="left" vertical="center"/>
    </xf>
    <xf numFmtId="0" fontId="230" fillId="0" borderId="18" xfId="0" applyFont="1" applyBorder="1" applyAlignment="1">
      <alignment horizontal="left" vertical="center"/>
    </xf>
    <xf numFmtId="3" fontId="230" fillId="0" borderId="22" xfId="1" applyNumberFormat="1" applyFont="1" applyBorder="1" applyAlignment="1" applyProtection="1">
      <alignment horizontal="right" vertical="center"/>
      <protection locked="0"/>
    </xf>
    <xf numFmtId="3" fontId="230" fillId="0" borderId="0" xfId="1" applyNumberFormat="1" applyFont="1" applyAlignment="1" applyProtection="1">
      <alignment horizontal="right" vertical="center"/>
      <protection locked="0"/>
    </xf>
    <xf numFmtId="3" fontId="230" fillId="0" borderId="21" xfId="1" applyNumberFormat="1" applyFont="1" applyBorder="1" applyAlignment="1" applyProtection="1">
      <alignment horizontal="right" vertical="center"/>
      <protection locked="0"/>
    </xf>
    <xf numFmtId="3" fontId="230" fillId="0" borderId="19" xfId="1" applyNumberFormat="1" applyFont="1" applyBorder="1" applyAlignment="1" applyProtection="1">
      <alignment horizontal="right" vertical="center"/>
      <protection locked="0"/>
    </xf>
    <xf numFmtId="3" fontId="230" fillId="0" borderId="18" xfId="1" applyNumberFormat="1" applyFont="1" applyBorder="1" applyAlignment="1" applyProtection="1">
      <alignment horizontal="right" vertical="center"/>
      <protection locked="0"/>
    </xf>
    <xf numFmtId="3" fontId="230" fillId="0" borderId="17" xfId="1" applyNumberFormat="1" applyFont="1" applyBorder="1" applyAlignment="1" applyProtection="1">
      <alignment horizontal="right" vertical="center"/>
      <protection locked="0"/>
    </xf>
    <xf numFmtId="3" fontId="230" fillId="0" borderId="15" xfId="1" applyNumberFormat="1" applyFont="1" applyBorder="1" applyAlignment="1">
      <alignment horizontal="right" vertical="center"/>
    </xf>
    <xf numFmtId="3" fontId="230" fillId="0" borderId="14" xfId="1" applyNumberFormat="1" applyFont="1" applyBorder="1" applyAlignment="1">
      <alignment horizontal="right" vertical="center"/>
    </xf>
    <xf numFmtId="3" fontId="230" fillId="0" borderId="13" xfId="1" applyNumberFormat="1" applyFont="1" applyBorder="1" applyAlignment="1">
      <alignment horizontal="right" vertical="center"/>
    </xf>
    <xf numFmtId="3" fontId="230" fillId="0" borderId="22" xfId="1" applyNumberFormat="1" applyFont="1" applyBorder="1" applyAlignment="1">
      <alignment horizontal="right" vertical="center"/>
    </xf>
    <xf numFmtId="3" fontId="230" fillId="0" borderId="0" xfId="1" applyNumberFormat="1" applyFont="1" applyAlignment="1">
      <alignment horizontal="right" vertical="center"/>
    </xf>
    <xf numFmtId="3" fontId="230" fillId="0" borderId="21" xfId="1" applyNumberFormat="1" applyFont="1" applyBorder="1" applyAlignment="1">
      <alignment horizontal="right" vertical="center"/>
    </xf>
    <xf numFmtId="3" fontId="230" fillId="0" borderId="19" xfId="1" applyNumberFormat="1" applyFont="1" applyBorder="1" applyAlignment="1">
      <alignment horizontal="right" vertical="center"/>
    </xf>
    <xf numFmtId="3" fontId="230" fillId="0" borderId="18" xfId="1" applyNumberFormat="1" applyFont="1" applyBorder="1" applyAlignment="1">
      <alignment horizontal="right" vertical="center"/>
    </xf>
    <xf numFmtId="3" fontId="230" fillId="0" borderId="17" xfId="1" applyNumberFormat="1" applyFont="1" applyBorder="1" applyAlignment="1">
      <alignment horizontal="right" vertical="center"/>
    </xf>
    <xf numFmtId="0" fontId="229" fillId="0" borderId="45" xfId="0" applyFont="1" applyBorder="1" applyAlignment="1">
      <alignment horizontal="center" vertical="center" wrapText="1"/>
    </xf>
    <xf numFmtId="0" fontId="229" fillId="0" borderId="44" xfId="0" applyFont="1" applyBorder="1" applyAlignment="1">
      <alignment horizontal="center" vertical="center" wrapText="1"/>
    </xf>
    <xf numFmtId="0" fontId="229" fillId="0" borderId="43" xfId="0" applyFont="1" applyBorder="1" applyAlignment="1">
      <alignment horizontal="center" vertical="center" wrapText="1"/>
    </xf>
    <xf numFmtId="0" fontId="179" fillId="0" borderId="122" xfId="0" applyFont="1" applyBorder="1" applyAlignment="1">
      <alignment horizontal="center" vertical="top"/>
    </xf>
    <xf numFmtId="3" fontId="230" fillId="0" borderId="36" xfId="1" applyNumberFormat="1" applyFont="1" applyBorder="1" applyAlignment="1">
      <alignment horizontal="right" vertical="center"/>
    </xf>
    <xf numFmtId="3" fontId="230" fillId="0" borderId="12" xfId="1" applyNumberFormat="1" applyFont="1" applyBorder="1" applyAlignment="1">
      <alignment horizontal="right" vertical="center"/>
    </xf>
    <xf numFmtId="3" fontId="230" fillId="0" borderId="121" xfId="1" applyNumberFormat="1" applyFont="1" applyBorder="1" applyAlignment="1">
      <alignment horizontal="right" vertical="center"/>
    </xf>
    <xf numFmtId="0" fontId="230" fillId="0" borderId="75" xfId="0" applyFont="1" applyBorder="1" applyAlignment="1">
      <alignment horizontal="left" vertical="center"/>
    </xf>
    <xf numFmtId="0" fontId="230" fillId="0" borderId="12" xfId="0" applyFont="1" applyBorder="1" applyAlignment="1">
      <alignment horizontal="left" vertical="center"/>
    </xf>
    <xf numFmtId="0" fontId="230" fillId="0" borderId="35" xfId="0" applyFont="1" applyBorder="1" applyAlignment="1">
      <alignment horizontal="left" vertical="center"/>
    </xf>
    <xf numFmtId="0" fontId="230" fillId="0" borderId="33" xfId="0" applyFont="1" applyBorder="1" applyAlignment="1">
      <alignment horizontal="left" vertical="center"/>
    </xf>
    <xf numFmtId="0" fontId="171" fillId="0" borderId="27" xfId="0" applyFont="1" applyBorder="1" applyAlignment="1">
      <alignment horizontal="center" vertical="center" wrapText="1"/>
    </xf>
    <xf numFmtId="0" fontId="171" fillId="0" borderId="25" xfId="0" applyFont="1" applyBorder="1" applyAlignment="1">
      <alignment horizontal="center" vertical="center" wrapText="1"/>
    </xf>
    <xf numFmtId="0" fontId="171" fillId="0" borderId="40" xfId="0" applyFont="1" applyBorder="1" applyAlignment="1">
      <alignment horizontal="center" vertical="center" wrapText="1"/>
    </xf>
    <xf numFmtId="0" fontId="171" fillId="0" borderId="20" xfId="0" applyFont="1" applyBorder="1" applyAlignment="1">
      <alignment horizontal="center" vertical="center" wrapText="1"/>
    </xf>
    <xf numFmtId="0" fontId="171" fillId="0" borderId="18" xfId="0" applyFont="1" applyBorder="1" applyAlignment="1">
      <alignment horizontal="center" vertical="center" wrapText="1"/>
    </xf>
    <xf numFmtId="0" fontId="171" fillId="0" borderId="33" xfId="0" applyFont="1" applyBorder="1" applyAlignment="1">
      <alignment horizontal="center" vertical="center" wrapText="1"/>
    </xf>
    <xf numFmtId="3" fontId="138" fillId="0" borderId="5" xfId="5" applyNumberFormat="1" applyFont="1" applyBorder="1" applyAlignment="1" applyProtection="1">
      <alignment horizontal="right" vertical="center"/>
      <protection locked="0"/>
    </xf>
    <xf numFmtId="3" fontId="138" fillId="0" borderId="4" xfId="5" applyNumberFormat="1" applyFont="1" applyBorder="1" applyAlignment="1" applyProtection="1">
      <alignment horizontal="right" vertical="center"/>
      <protection locked="0"/>
    </xf>
    <xf numFmtId="3" fontId="138" fillId="0" borderId="6" xfId="5" applyNumberFormat="1" applyFont="1" applyBorder="1" applyAlignment="1" applyProtection="1">
      <alignment horizontal="right" vertical="center"/>
      <protection locked="0"/>
    </xf>
    <xf numFmtId="0" fontId="181" fillId="0" borderId="22" xfId="13" applyFont="1" applyBorder="1" applyAlignment="1">
      <alignment vertical="center"/>
    </xf>
    <xf numFmtId="0" fontId="181" fillId="0" borderId="54" xfId="13" applyFont="1" applyBorder="1" applyAlignment="1">
      <alignment vertical="center"/>
    </xf>
    <xf numFmtId="3" fontId="138" fillId="0" borderId="32" xfId="5" applyNumberFormat="1" applyFont="1" applyBorder="1" applyAlignment="1" applyProtection="1">
      <alignment horizontal="right" vertical="center"/>
      <protection locked="0"/>
    </xf>
    <xf numFmtId="3" fontId="138" fillId="0" borderId="30" xfId="5" applyNumberFormat="1" applyFont="1" applyBorder="1" applyAlignment="1" applyProtection="1">
      <alignment horizontal="right" vertical="center"/>
      <protection locked="0"/>
    </xf>
    <xf numFmtId="3" fontId="138" fillId="0" borderId="29" xfId="5" applyNumberFormat="1" applyFont="1" applyBorder="1" applyAlignment="1" applyProtection="1">
      <alignment horizontal="right" vertical="center"/>
      <protection locked="0"/>
    </xf>
    <xf numFmtId="3" fontId="138" fillId="0" borderId="51" xfId="5" applyNumberFormat="1" applyFont="1" applyBorder="1" applyAlignment="1" applyProtection="1">
      <alignment horizontal="right" vertical="center"/>
      <protection locked="0"/>
    </xf>
    <xf numFmtId="3" fontId="138" fillId="0" borderId="28" xfId="5" applyNumberFormat="1" applyFont="1" applyBorder="1" applyAlignment="1" applyProtection="1">
      <alignment horizontal="right" vertical="center"/>
      <protection locked="0"/>
    </xf>
    <xf numFmtId="0" fontId="181" fillId="0" borderId="0" xfId="13" applyFont="1" applyAlignment="1">
      <alignment vertical="center"/>
    </xf>
    <xf numFmtId="3" fontId="186" fillId="0" borderId="0" xfId="5" applyNumberFormat="1" applyFont="1" applyAlignment="1">
      <alignment horizontal="right" vertical="center"/>
    </xf>
    <xf numFmtId="0" fontId="139" fillId="0" borderId="22" xfId="13" applyFont="1" applyBorder="1" applyAlignment="1">
      <alignment horizontal="center" vertical="center"/>
    </xf>
    <xf numFmtId="0" fontId="139" fillId="0" borderId="0" xfId="13" applyFont="1" applyAlignment="1">
      <alignment horizontal="center" vertical="center"/>
    </xf>
    <xf numFmtId="0" fontId="139" fillId="0" borderId="58" xfId="13" applyFont="1" applyBorder="1" applyAlignment="1">
      <alignment horizontal="center" vertical="center"/>
    </xf>
    <xf numFmtId="0" fontId="139" fillId="0" borderId="19" xfId="13" applyFont="1" applyBorder="1" applyAlignment="1">
      <alignment horizontal="center" vertical="center"/>
    </xf>
    <xf numFmtId="0" fontId="139" fillId="0" borderId="18" xfId="13" applyFont="1" applyBorder="1" applyAlignment="1">
      <alignment horizontal="center" vertical="center"/>
    </xf>
    <xf numFmtId="0" fontId="139" fillId="0" borderId="57" xfId="13" applyFont="1" applyBorder="1" applyAlignment="1">
      <alignment horizontal="center" vertical="center"/>
    </xf>
    <xf numFmtId="0" fontId="139" fillId="0" borderId="36" xfId="13" applyFont="1" applyBorder="1" applyAlignment="1">
      <alignment horizontal="center" vertical="center"/>
    </xf>
    <xf numFmtId="0" fontId="139" fillId="0" borderId="12" xfId="13" applyFont="1" applyBorder="1" applyAlignment="1">
      <alignment horizontal="center" vertical="center"/>
    </xf>
    <xf numFmtId="0" fontId="139" fillId="0" borderId="59" xfId="13" applyFont="1" applyBorder="1" applyAlignment="1">
      <alignment horizontal="center" vertical="center"/>
    </xf>
    <xf numFmtId="0" fontId="139" fillId="0" borderId="19" xfId="13" applyFont="1" applyBorder="1" applyAlignment="1">
      <alignment horizontal="left" vertical="center" wrapText="1"/>
    </xf>
    <xf numFmtId="0" fontId="139" fillId="0" borderId="18" xfId="13" applyFont="1" applyBorder="1" applyAlignment="1">
      <alignment horizontal="left" vertical="center" wrapText="1"/>
    </xf>
    <xf numFmtId="3" fontId="138" fillId="0" borderId="4" xfId="5" applyNumberFormat="1" applyFont="1" applyBorder="1" applyAlignment="1">
      <alignment horizontal="right" vertical="center"/>
    </xf>
    <xf numFmtId="3" fontId="138" fillId="0" borderId="6" xfId="5" applyNumberFormat="1" applyFont="1" applyBorder="1" applyAlignment="1">
      <alignment horizontal="right" vertical="center"/>
    </xf>
    <xf numFmtId="49" fontId="185" fillId="0" borderId="5" xfId="13" applyNumberFormat="1" applyFont="1" applyBorder="1" applyAlignment="1">
      <alignment horizontal="center" vertical="center"/>
    </xf>
    <xf numFmtId="49" fontId="185" fillId="0" borderId="6" xfId="13" applyNumberFormat="1" applyFont="1" applyBorder="1" applyAlignment="1">
      <alignment horizontal="center" vertical="center"/>
    </xf>
    <xf numFmtId="3" fontId="138" fillId="0" borderId="32" xfId="5" applyNumberFormat="1" applyFont="1" applyBorder="1" applyAlignment="1">
      <alignment horizontal="right" vertical="center"/>
    </xf>
    <xf numFmtId="0" fontId="139" fillId="0" borderId="22" xfId="13" applyFont="1" applyBorder="1" applyAlignment="1">
      <alignment horizontal="center" vertical="center" wrapText="1"/>
    </xf>
    <xf numFmtId="0" fontId="139" fillId="0" borderId="0" xfId="13" applyFont="1" applyAlignment="1">
      <alignment horizontal="center" vertical="center" wrapText="1"/>
    </xf>
    <xf numFmtId="0" fontId="139" fillId="0" borderId="54" xfId="13" applyFont="1" applyBorder="1" applyAlignment="1">
      <alignment horizontal="center" vertical="center" wrapText="1"/>
    </xf>
    <xf numFmtId="0" fontId="139" fillId="0" borderId="19" xfId="13" applyFont="1" applyBorder="1" applyAlignment="1">
      <alignment horizontal="center" vertical="center" wrapText="1"/>
    </xf>
    <xf numFmtId="0" fontId="139" fillId="0" borderId="18" xfId="13" applyFont="1" applyBorder="1" applyAlignment="1">
      <alignment horizontal="center" vertical="center" wrapText="1"/>
    </xf>
    <xf numFmtId="0" fontId="139" fillId="0" borderId="33" xfId="13" applyFont="1" applyBorder="1" applyAlignment="1">
      <alignment horizontal="center" vertical="center" wrapText="1"/>
    </xf>
    <xf numFmtId="0" fontId="136" fillId="0" borderId="36" xfId="13" applyFont="1" applyBorder="1" applyAlignment="1">
      <alignment horizontal="center" vertical="center"/>
    </xf>
    <xf numFmtId="0" fontId="136" fillId="0" borderId="12" xfId="13" applyFont="1" applyBorder="1" applyAlignment="1">
      <alignment horizontal="center" vertical="center"/>
    </xf>
    <xf numFmtId="0" fontId="136" fillId="0" borderId="35" xfId="13" applyFont="1" applyBorder="1" applyAlignment="1">
      <alignment horizontal="center" vertical="center"/>
    </xf>
    <xf numFmtId="0" fontId="138" fillId="0" borderId="36" xfId="13" applyFont="1" applyBorder="1" applyAlignment="1">
      <alignment horizontal="center" vertical="center" wrapText="1"/>
    </xf>
    <xf numFmtId="0" fontId="138" fillId="0" borderId="12" xfId="13" applyFont="1" applyBorder="1" applyAlignment="1">
      <alignment horizontal="center" vertical="center" wrapText="1"/>
    </xf>
    <xf numFmtId="0" fontId="138" fillId="0" borderId="35" xfId="13" applyFont="1" applyBorder="1" applyAlignment="1">
      <alignment horizontal="center" vertical="center" wrapText="1"/>
    </xf>
    <xf numFmtId="3" fontId="133" fillId="0" borderId="64" xfId="5" applyNumberFormat="1" applyFont="1" applyBorder="1" applyAlignment="1" applyProtection="1">
      <alignment horizontal="right" vertical="center"/>
      <protection locked="0"/>
    </xf>
    <xf numFmtId="3" fontId="133" fillId="0" borderId="29" xfId="5" applyNumberFormat="1" applyFont="1" applyBorder="1" applyAlignment="1" applyProtection="1">
      <alignment horizontal="right" vertical="center"/>
      <protection locked="0"/>
    </xf>
    <xf numFmtId="3" fontId="133" fillId="0" borderId="65" xfId="5" applyNumberFormat="1" applyFont="1" applyBorder="1" applyAlignment="1" applyProtection="1">
      <alignment horizontal="right" vertical="center"/>
      <protection locked="0"/>
    </xf>
    <xf numFmtId="3" fontId="133" fillId="0" borderId="28" xfId="5" applyNumberFormat="1" applyFont="1" applyBorder="1" applyAlignment="1" applyProtection="1">
      <alignment horizontal="right" vertical="center"/>
      <protection locked="0"/>
    </xf>
    <xf numFmtId="0" fontId="133" fillId="0" borderId="5" xfId="13" applyFont="1" applyBorder="1" applyAlignment="1">
      <alignment horizontal="justify" vertical="center"/>
    </xf>
    <xf numFmtId="0" fontId="133" fillId="0" borderId="4" xfId="13" applyFont="1" applyBorder="1" applyAlignment="1">
      <alignment horizontal="justify" vertical="center"/>
    </xf>
    <xf numFmtId="0" fontId="133" fillId="0" borderId="6" xfId="13" applyFont="1" applyBorder="1" applyAlignment="1">
      <alignment horizontal="justify" vertical="center"/>
    </xf>
    <xf numFmtId="3" fontId="133" fillId="0" borderId="5" xfId="5" applyNumberFormat="1" applyFont="1" applyBorder="1" applyAlignment="1">
      <alignment horizontal="right" vertical="center"/>
    </xf>
    <xf numFmtId="3" fontId="133" fillId="0" borderId="4" xfId="5" applyNumberFormat="1" applyFont="1" applyBorder="1" applyAlignment="1">
      <alignment horizontal="right" vertical="center"/>
    </xf>
    <xf numFmtId="3" fontId="133" fillId="0" borderId="67" xfId="5" applyNumberFormat="1" applyFont="1" applyBorder="1" applyAlignment="1">
      <alignment horizontal="right" vertical="center"/>
    </xf>
    <xf numFmtId="3" fontId="133" fillId="0" borderId="66" xfId="5" applyNumberFormat="1" applyFont="1" applyBorder="1" applyAlignment="1" applyProtection="1">
      <alignment horizontal="right" vertical="center"/>
      <protection locked="0"/>
    </xf>
    <xf numFmtId="3" fontId="133" fillId="0" borderId="4" xfId="5" applyNumberFormat="1" applyFont="1" applyBorder="1" applyAlignment="1" applyProtection="1">
      <alignment horizontal="right" vertical="center"/>
      <protection locked="0"/>
    </xf>
    <xf numFmtId="3" fontId="133" fillId="0" borderId="67" xfId="5" applyNumberFormat="1" applyFont="1" applyBorder="1" applyAlignment="1" applyProtection="1">
      <alignment horizontal="right" vertical="center"/>
      <protection locked="0"/>
    </xf>
    <xf numFmtId="3" fontId="133" fillId="0" borderId="32" xfId="5" applyNumberFormat="1" applyFont="1" applyBorder="1" applyAlignment="1" applyProtection="1">
      <alignment horizontal="right" vertical="center"/>
      <protection locked="0"/>
    </xf>
    <xf numFmtId="0" fontId="136" fillId="0" borderId="5" xfId="13" applyFont="1" applyBorder="1" applyAlignment="1">
      <alignment horizontal="center" vertical="center"/>
    </xf>
    <xf numFmtId="0" fontId="136" fillId="0" borderId="4" xfId="13" applyFont="1" applyBorder="1" applyAlignment="1">
      <alignment horizontal="center" vertical="center"/>
    </xf>
    <xf numFmtId="0" fontId="136" fillId="0" borderId="32" xfId="13" applyFont="1" applyBorder="1" applyAlignment="1">
      <alignment horizontal="center" vertical="center"/>
    </xf>
    <xf numFmtId="0" fontId="135" fillId="0" borderId="62" xfId="13" applyFont="1" applyBorder="1" applyAlignment="1">
      <alignment horizontal="right" vertical="center"/>
    </xf>
    <xf numFmtId="0" fontId="135" fillId="0" borderId="61" xfId="13" applyFont="1" applyBorder="1" applyAlignment="1">
      <alignment horizontal="right" vertical="center"/>
    </xf>
    <xf numFmtId="0" fontId="135" fillId="0" borderId="60" xfId="13" applyFont="1" applyBorder="1" applyAlignment="1">
      <alignment horizontal="right" vertical="center"/>
    </xf>
    <xf numFmtId="49" fontId="135" fillId="0" borderId="62" xfId="13" quotePrefix="1" applyNumberFormat="1" applyFont="1" applyBorder="1" applyAlignment="1" applyProtection="1">
      <alignment horizontal="center" vertical="center"/>
      <protection locked="0"/>
    </xf>
    <xf numFmtId="49" fontId="135" fillId="0" borderId="60" xfId="13" applyNumberFormat="1" applyFont="1" applyBorder="1" applyAlignment="1" applyProtection="1">
      <alignment horizontal="center" vertical="center"/>
      <protection locked="0"/>
    </xf>
    <xf numFmtId="0" fontId="135" fillId="0" borderId="62" xfId="13" applyFont="1" applyBorder="1" applyAlignment="1" applyProtection="1">
      <alignment horizontal="right" vertical="center"/>
      <protection locked="0"/>
    </xf>
    <xf numFmtId="0" fontId="135" fillId="0" borderId="61" xfId="13" applyFont="1" applyBorder="1" applyAlignment="1" applyProtection="1">
      <alignment horizontal="right" vertical="center"/>
      <protection locked="0"/>
    </xf>
    <xf numFmtId="0" fontId="135" fillId="0" borderId="60" xfId="13" applyFont="1" applyBorder="1" applyAlignment="1" applyProtection="1">
      <alignment horizontal="right" vertical="center"/>
      <protection locked="0"/>
    </xf>
    <xf numFmtId="0" fontId="136" fillId="0" borderId="6" xfId="13" applyFont="1" applyBorder="1" applyAlignment="1">
      <alignment horizontal="center" vertical="center"/>
    </xf>
    <xf numFmtId="49" fontId="135" fillId="0" borderId="62" xfId="13" applyNumberFormat="1" applyFont="1" applyBorder="1" applyAlignment="1" applyProtection="1">
      <alignment horizontal="right" vertical="center"/>
      <protection locked="0"/>
    </xf>
    <xf numFmtId="49" fontId="135" fillId="0" borderId="61" xfId="13" applyNumberFormat="1" applyFont="1" applyBorder="1" applyAlignment="1" applyProtection="1">
      <alignment horizontal="right" vertical="center"/>
      <protection locked="0"/>
    </xf>
    <xf numFmtId="49" fontId="135" fillId="0" borderId="60" xfId="13" applyNumberFormat="1" applyFont="1" applyBorder="1" applyAlignment="1" applyProtection="1">
      <alignment horizontal="right" vertical="center"/>
      <protection locked="0"/>
    </xf>
    <xf numFmtId="0" fontId="133" fillId="0" borderId="30" xfId="13" applyFont="1" applyBorder="1" applyAlignment="1">
      <alignment horizontal="justify" vertical="center"/>
    </xf>
    <xf numFmtId="0" fontId="133" fillId="0" borderId="29" xfId="13" applyFont="1" applyBorder="1" applyAlignment="1">
      <alignment horizontal="justify" vertical="center"/>
    </xf>
    <xf numFmtId="0" fontId="133" fillId="0" borderId="51" xfId="13" applyFont="1" applyBorder="1" applyAlignment="1">
      <alignment horizontal="justify" vertical="center"/>
    </xf>
    <xf numFmtId="3" fontId="133" fillId="0" borderId="30" xfId="5" applyNumberFormat="1" applyFont="1" applyBorder="1" applyAlignment="1">
      <alignment horizontal="right" vertical="center"/>
    </xf>
    <xf numFmtId="3" fontId="133" fillId="0" borderId="29" xfId="5" applyNumberFormat="1" applyFont="1" applyBorder="1" applyAlignment="1">
      <alignment horizontal="right" vertical="center"/>
    </xf>
    <xf numFmtId="3" fontId="133" fillId="0" borderId="65" xfId="5" applyNumberFormat="1" applyFont="1" applyBorder="1" applyAlignment="1">
      <alignment horizontal="right" vertical="center"/>
    </xf>
    <xf numFmtId="3" fontId="133" fillId="0" borderId="239" xfId="5" applyNumberFormat="1" applyFont="1" applyFill="1" applyBorder="1" applyAlignment="1">
      <alignment horizontal="center" vertical="center"/>
    </xf>
    <xf numFmtId="3" fontId="133" fillId="0" borderId="12" xfId="5" applyNumberFormat="1" applyFont="1" applyFill="1" applyBorder="1" applyAlignment="1">
      <alignment horizontal="center" vertical="center"/>
    </xf>
    <xf numFmtId="3" fontId="133" fillId="0" borderId="240" xfId="5" applyNumberFormat="1" applyFont="1" applyFill="1" applyBorder="1" applyAlignment="1">
      <alignment horizontal="center" vertical="center"/>
    </xf>
    <xf numFmtId="49" fontId="135" fillId="0" borderId="27" xfId="13" applyNumberFormat="1" applyFont="1" applyBorder="1" applyAlignment="1">
      <alignment horizontal="center" vertical="center" wrapText="1"/>
    </xf>
    <xf numFmtId="49" fontId="135" fillId="0" borderId="23" xfId="13" applyNumberFormat="1" applyFont="1" applyBorder="1" applyAlignment="1">
      <alignment horizontal="center" vertical="center" wrapText="1"/>
    </xf>
    <xf numFmtId="0" fontId="135" fillId="0" borderId="39" xfId="13" applyFont="1" applyBorder="1" applyAlignment="1">
      <alignment horizontal="center" vertical="center"/>
    </xf>
    <xf numFmtId="0" fontId="135" fillId="0" borderId="38" xfId="13" applyFont="1" applyBorder="1" applyAlignment="1">
      <alignment horizontal="center" vertical="center"/>
    </xf>
    <xf numFmtId="0" fontId="135" fillId="0" borderId="63" xfId="13" applyFont="1" applyBorder="1" applyAlignment="1">
      <alignment horizontal="center" vertical="center"/>
    </xf>
    <xf numFmtId="0" fontId="135" fillId="0" borderId="37" xfId="13" applyFont="1" applyBorder="1" applyAlignment="1">
      <alignment horizontal="center" vertical="center"/>
    </xf>
    <xf numFmtId="0" fontId="173" fillId="0" borderId="22" xfId="13" applyFont="1" applyBorder="1" applyAlignment="1">
      <alignment horizontal="left" vertical="center" wrapText="1"/>
    </xf>
    <xf numFmtId="0" fontId="173" fillId="0" borderId="0" xfId="13" applyFont="1" applyAlignment="1">
      <alignment horizontal="left" vertical="center" wrapText="1"/>
    </xf>
    <xf numFmtId="0" fontId="173" fillId="0" borderId="18" xfId="13" applyFont="1" applyBorder="1" applyAlignment="1">
      <alignment horizontal="left" vertical="center" wrapText="1"/>
    </xf>
    <xf numFmtId="0" fontId="135" fillId="6" borderId="4" xfId="13" applyFont="1" applyFill="1" applyBorder="1" applyAlignment="1" applyProtection="1">
      <alignment horizontal="left" vertical="center"/>
      <protection locked="0"/>
    </xf>
    <xf numFmtId="0" fontId="135" fillId="0" borderId="4" xfId="13" applyFont="1" applyBorder="1" applyAlignment="1">
      <alignment horizontal="left" vertical="center"/>
    </xf>
    <xf numFmtId="0" fontId="135" fillId="0" borderId="4" xfId="13" applyFont="1" applyBorder="1" applyAlignment="1" applyProtection="1">
      <alignment horizontal="left" vertical="center"/>
      <protection locked="0"/>
    </xf>
    <xf numFmtId="0" fontId="135" fillId="0" borderId="62" xfId="13" applyFont="1" applyBorder="1" applyAlignment="1" applyProtection="1">
      <alignment horizontal="center" vertical="center"/>
      <protection locked="0"/>
    </xf>
    <xf numFmtId="0" fontId="135" fillId="0" borderId="60" xfId="13" applyFont="1" applyBorder="1" applyAlignment="1" applyProtection="1">
      <alignment horizontal="center" vertical="center"/>
      <protection locked="0"/>
    </xf>
    <xf numFmtId="0" fontId="133" fillId="0" borderId="39" xfId="13" applyFont="1" applyBorder="1" applyAlignment="1">
      <alignment horizontal="justify" vertical="center"/>
    </xf>
    <xf numFmtId="0" fontId="133" fillId="0" borderId="38" xfId="13" applyFont="1" applyBorder="1" applyAlignment="1">
      <alignment horizontal="justify" vertical="center"/>
    </xf>
    <xf numFmtId="0" fontId="133" fillId="0" borderId="63" xfId="13" applyFont="1" applyBorder="1" applyAlignment="1">
      <alignment horizontal="justify" vertical="center"/>
    </xf>
    <xf numFmtId="3" fontId="133" fillId="0" borderId="39" xfId="5" applyNumberFormat="1" applyFont="1" applyBorder="1" applyAlignment="1">
      <alignment horizontal="right" vertical="center"/>
    </xf>
    <xf numFmtId="3" fontId="133" fillId="0" borderId="38" xfId="5" applyNumberFormat="1" applyFont="1" applyBorder="1" applyAlignment="1">
      <alignment horizontal="right" vertical="center"/>
    </xf>
    <xf numFmtId="3" fontId="133" fillId="0" borderId="69" xfId="5" applyNumberFormat="1" applyFont="1" applyBorder="1" applyAlignment="1">
      <alignment horizontal="right" vertical="center"/>
    </xf>
    <xf numFmtId="3" fontId="133" fillId="0" borderId="68" xfId="5" applyNumberFormat="1" applyFont="1" applyBorder="1" applyAlignment="1" applyProtection="1">
      <alignment horizontal="right" vertical="center"/>
      <protection locked="0"/>
    </xf>
    <xf numFmtId="3" fontId="133" fillId="0" borderId="38" xfId="5" applyNumberFormat="1" applyFont="1" applyBorder="1" applyAlignment="1" applyProtection="1">
      <alignment horizontal="right" vertical="center"/>
      <protection locked="0"/>
    </xf>
    <xf numFmtId="3" fontId="133" fillId="0" borderId="69" xfId="5" applyNumberFormat="1" applyFont="1" applyBorder="1" applyAlignment="1" applyProtection="1">
      <alignment horizontal="right" vertical="center"/>
      <protection locked="0"/>
    </xf>
    <xf numFmtId="3" fontId="133" fillId="0" borderId="37" xfId="5" applyNumberFormat="1" applyFont="1" applyBorder="1" applyAlignment="1" applyProtection="1">
      <alignment horizontal="right" vertical="center"/>
      <protection locked="0"/>
    </xf>
    <xf numFmtId="0" fontId="126" fillId="0" borderId="4" xfId="13" applyFont="1" applyBorder="1" applyAlignment="1">
      <alignment horizontal="justify" vertical="center"/>
    </xf>
    <xf numFmtId="0" fontId="126" fillId="0" borderId="6" xfId="13" applyFont="1" applyBorder="1" applyAlignment="1">
      <alignment horizontal="justify" vertical="center"/>
    </xf>
    <xf numFmtId="3" fontId="126" fillId="0" borderId="5" xfId="5" applyNumberFormat="1" applyFont="1" applyBorder="1" applyAlignment="1">
      <alignment horizontal="right" vertical="center"/>
    </xf>
    <xf numFmtId="3" fontId="126" fillId="0" borderId="4" xfId="5" applyNumberFormat="1" applyFont="1" applyBorder="1" applyAlignment="1">
      <alignment horizontal="right" vertical="center"/>
    </xf>
    <xf numFmtId="3" fontId="126" fillId="0" borderId="67" xfId="5" applyNumberFormat="1" applyFont="1" applyBorder="1" applyAlignment="1">
      <alignment horizontal="right" vertical="center"/>
    </xf>
    <xf numFmtId="3" fontId="126" fillId="0" borderId="66" xfId="5" applyNumberFormat="1" applyFont="1" applyBorder="1" applyAlignment="1" applyProtection="1">
      <alignment horizontal="right" vertical="center"/>
      <protection locked="0"/>
    </xf>
    <xf numFmtId="3" fontId="126" fillId="0" borderId="4" xfId="5" applyNumberFormat="1" applyFont="1" applyBorder="1" applyAlignment="1" applyProtection="1">
      <alignment horizontal="right" vertical="center"/>
      <protection locked="0"/>
    </xf>
    <xf numFmtId="3" fontId="126" fillId="0" borderId="67" xfId="5" applyNumberFormat="1" applyFont="1" applyBorder="1" applyAlignment="1" applyProtection="1">
      <alignment horizontal="right" vertical="center"/>
      <protection locked="0"/>
    </xf>
    <xf numFmtId="3" fontId="126" fillId="0" borderId="32" xfId="5" applyNumberFormat="1" applyFont="1" applyBorder="1" applyAlignment="1" applyProtection="1">
      <alignment horizontal="right" vertical="center"/>
      <protection locked="0"/>
    </xf>
    <xf numFmtId="3" fontId="133" fillId="0" borderId="234" xfId="5" applyNumberFormat="1" applyFont="1" applyBorder="1" applyAlignment="1">
      <alignment horizontal="center" vertical="center"/>
    </xf>
    <xf numFmtId="3" fontId="133" fillId="0" borderId="235" xfId="5" applyNumberFormat="1" applyFont="1" applyBorder="1" applyAlignment="1">
      <alignment horizontal="center" vertical="center"/>
    </xf>
    <xf numFmtId="3" fontId="133" fillId="0" borderId="237" xfId="5" applyNumberFormat="1" applyFont="1" applyBorder="1" applyAlignment="1">
      <alignment horizontal="center" vertical="center"/>
    </xf>
    <xf numFmtId="3" fontId="133" fillId="0" borderId="236" xfId="5" applyNumberFormat="1" applyFont="1" applyBorder="1" applyAlignment="1">
      <alignment horizontal="center" vertical="center"/>
    </xf>
    <xf numFmtId="3" fontId="133" fillId="0" borderId="66" xfId="5" applyNumberFormat="1" applyFont="1" applyBorder="1" applyAlignment="1">
      <alignment horizontal="right" vertical="center"/>
    </xf>
    <xf numFmtId="3" fontId="133" fillId="0" borderId="32" xfId="5" applyNumberFormat="1" applyFont="1" applyBorder="1" applyAlignment="1">
      <alignment horizontal="right" vertical="center"/>
    </xf>
    <xf numFmtId="3" fontId="126" fillId="0" borderId="66" xfId="5" applyNumberFormat="1" applyFont="1" applyBorder="1" applyAlignment="1">
      <alignment horizontal="right" vertical="center"/>
    </xf>
    <xf numFmtId="3" fontId="126" fillId="0" borderId="32" xfId="5" applyNumberFormat="1" applyFont="1" applyBorder="1" applyAlignment="1">
      <alignment horizontal="right" vertical="center"/>
    </xf>
    <xf numFmtId="3" fontId="133" fillId="0" borderId="66" xfId="5" applyNumberFormat="1" applyFont="1" applyBorder="1" applyAlignment="1">
      <alignment horizontal="center" vertical="center"/>
    </xf>
    <xf numFmtId="3" fontId="133" fillId="0" borderId="4" xfId="5" applyNumberFormat="1" applyFont="1" applyBorder="1" applyAlignment="1">
      <alignment horizontal="center" vertical="center"/>
    </xf>
    <xf numFmtId="3" fontId="133" fillId="0" borderId="67" xfId="5" applyNumberFormat="1" applyFont="1" applyBorder="1" applyAlignment="1">
      <alignment horizontal="center" vertical="center"/>
    </xf>
    <xf numFmtId="3" fontId="133" fillId="0" borderId="32" xfId="5" applyNumberFormat="1" applyFont="1" applyBorder="1" applyAlignment="1">
      <alignment horizontal="center" vertical="center"/>
    </xf>
    <xf numFmtId="0" fontId="133" fillId="0" borderId="5" xfId="13" applyFont="1" applyBorder="1" applyAlignment="1">
      <alignment horizontal="left" vertical="center"/>
    </xf>
    <xf numFmtId="0" fontId="133" fillId="0" borderId="4" xfId="13" applyFont="1" applyBorder="1" applyAlignment="1">
      <alignment horizontal="left" vertical="center"/>
    </xf>
    <xf numFmtId="0" fontId="133" fillId="0" borderId="6" xfId="13" applyFont="1" applyBorder="1" applyAlignment="1">
      <alignment horizontal="left" vertical="center"/>
    </xf>
    <xf numFmtId="0" fontId="179" fillId="0" borderId="0" xfId="13" applyFont="1" applyAlignment="1">
      <alignment horizontal="left" wrapText="1"/>
    </xf>
    <xf numFmtId="169" fontId="134" fillId="0" borderId="0" xfId="13" applyNumberFormat="1" applyFont="1" applyAlignment="1">
      <alignment horizontal="left"/>
    </xf>
    <xf numFmtId="49" fontId="126" fillId="0" borderId="27" xfId="13" applyNumberFormat="1" applyFont="1" applyBorder="1" applyAlignment="1">
      <alignment horizontal="center" vertical="center" wrapText="1"/>
    </xf>
    <xf numFmtId="49" fontId="126" fillId="0" borderId="20" xfId="13" applyNumberFormat="1" applyFont="1" applyBorder="1" applyAlignment="1">
      <alignment horizontal="center" vertical="center" wrapText="1"/>
    </xf>
    <xf numFmtId="0" fontId="145" fillId="0" borderId="29" xfId="13" applyFont="1" applyBorder="1" applyAlignment="1">
      <alignment horizontal="center" vertical="center"/>
    </xf>
    <xf numFmtId="0" fontId="145" fillId="0" borderId="28" xfId="13" applyFont="1" applyBorder="1" applyAlignment="1">
      <alignment horizontal="center" vertical="center"/>
    </xf>
    <xf numFmtId="3" fontId="133" fillId="0" borderId="68" xfId="5" applyNumberFormat="1" applyFont="1" applyBorder="1" applyAlignment="1">
      <alignment horizontal="right" vertical="center"/>
    </xf>
    <xf numFmtId="3" fontId="133" fillId="0" borderId="37" xfId="5" applyNumberFormat="1" applyFont="1" applyBorder="1" applyAlignment="1">
      <alignment horizontal="right" vertical="center"/>
    </xf>
    <xf numFmtId="0" fontId="126" fillId="0" borderId="4" xfId="13" applyFont="1" applyBorder="1" applyAlignment="1">
      <alignment horizontal="left" vertical="center"/>
    </xf>
    <xf numFmtId="0" fontId="126" fillId="0" borderId="6" xfId="13" applyFont="1" applyBorder="1" applyAlignment="1">
      <alignment horizontal="left" vertical="center"/>
    </xf>
    <xf numFmtId="0" fontId="133" fillId="0" borderId="25" xfId="13" applyFont="1" applyBorder="1" applyAlignment="1">
      <alignment horizontal="center" vertical="center" wrapText="1"/>
    </xf>
    <xf numFmtId="0" fontId="133" fillId="0" borderId="24" xfId="13" applyFont="1" applyBorder="1" applyAlignment="1">
      <alignment horizontal="center" vertical="center" wrapText="1"/>
    </xf>
    <xf numFmtId="0" fontId="133" fillId="0" borderId="18" xfId="13" applyFont="1" applyBorder="1" applyAlignment="1">
      <alignment horizontal="center" vertical="center" wrapText="1"/>
    </xf>
    <xf numFmtId="0" fontId="133" fillId="0" borderId="17" xfId="13" applyFont="1" applyBorder="1" applyAlignment="1">
      <alignment horizontal="center" vertical="center" wrapText="1"/>
    </xf>
    <xf numFmtId="0" fontId="126" fillId="0" borderId="19" xfId="13" applyFont="1" applyBorder="1" applyAlignment="1">
      <alignment horizontal="center" vertical="center"/>
    </xf>
    <xf numFmtId="0" fontId="126" fillId="0" borderId="18" xfId="13" applyFont="1" applyBorder="1" applyAlignment="1">
      <alignment horizontal="center" vertical="center"/>
    </xf>
    <xf numFmtId="0" fontId="126" fillId="0" borderId="33" xfId="13" applyFont="1" applyBorder="1" applyAlignment="1">
      <alignment horizontal="center" vertical="center"/>
    </xf>
    <xf numFmtId="3" fontId="186" fillId="0" borderId="21" xfId="5" applyNumberFormat="1" applyFont="1" applyBorder="1" applyAlignment="1">
      <alignment horizontal="right" vertical="center"/>
    </xf>
    <xf numFmtId="0" fontId="145" fillId="0" borderId="30" xfId="13" applyFont="1" applyBorder="1" applyAlignment="1">
      <alignment horizontal="center" vertical="center"/>
    </xf>
    <xf numFmtId="0" fontId="145" fillId="0" borderId="51" xfId="13" applyFont="1" applyBorder="1" applyAlignment="1">
      <alignment horizontal="center" vertical="center"/>
    </xf>
    <xf numFmtId="0" fontId="145" fillId="0" borderId="64" xfId="13" applyFont="1" applyBorder="1" applyAlignment="1">
      <alignment horizontal="center" vertical="center"/>
    </xf>
    <xf numFmtId="0" fontId="145" fillId="0" borderId="65" xfId="13" applyFont="1" applyBorder="1" applyAlignment="1">
      <alignment horizontal="center" vertical="center"/>
    </xf>
    <xf numFmtId="0" fontId="126" fillId="0" borderId="26" xfId="13" applyFont="1" applyBorder="1" applyAlignment="1">
      <alignment horizontal="center" vertical="center"/>
    </xf>
    <xf numFmtId="0" fontId="126" fillId="0" borderId="25" xfId="13" applyFont="1" applyBorder="1" applyAlignment="1">
      <alignment horizontal="center" vertical="center"/>
    </xf>
    <xf numFmtId="0" fontId="126" fillId="0" borderId="40" xfId="13" applyFont="1" applyBorder="1" applyAlignment="1">
      <alignment horizontal="center" vertical="center"/>
    </xf>
    <xf numFmtId="0" fontId="133" fillId="0" borderId="26" xfId="13" applyFont="1" applyBorder="1" applyAlignment="1">
      <alignment horizontal="center" vertical="center" wrapText="1"/>
    </xf>
    <xf numFmtId="0" fontId="133" fillId="0" borderId="19" xfId="13" applyFont="1" applyBorder="1" applyAlignment="1">
      <alignment horizontal="center" vertical="center" wrapText="1"/>
    </xf>
    <xf numFmtId="0" fontId="133" fillId="0" borderId="73" xfId="13" applyFont="1" applyBorder="1" applyAlignment="1">
      <alignment horizontal="center" vertical="center" wrapText="1"/>
    </xf>
    <xf numFmtId="0" fontId="133" fillId="0" borderId="71" xfId="13" applyFont="1" applyBorder="1" applyAlignment="1">
      <alignment horizontal="center" vertical="center" wrapText="1"/>
    </xf>
    <xf numFmtId="0" fontId="133" fillId="0" borderId="72" xfId="13" applyFont="1" applyBorder="1" applyAlignment="1">
      <alignment horizontal="center" vertical="center" wrapText="1"/>
    </xf>
    <xf numFmtId="0" fontId="133" fillId="0" borderId="70" xfId="13" applyFont="1" applyBorder="1" applyAlignment="1">
      <alignment horizontal="center" vertical="center" wrapText="1"/>
    </xf>
    <xf numFmtId="0" fontId="187" fillId="0" borderId="0" xfId="0" applyFont="1" applyAlignment="1">
      <alignment horizontal="right"/>
    </xf>
    <xf numFmtId="0" fontId="178" fillId="0" borderId="184" xfId="12" applyFont="1" applyBorder="1" applyAlignment="1">
      <alignment horizontal="center" vertical="center"/>
    </xf>
    <xf numFmtId="0" fontId="178" fillId="0" borderId="182" xfId="12" applyFont="1" applyBorder="1" applyAlignment="1">
      <alignment horizontal="center" vertical="center"/>
    </xf>
    <xf numFmtId="0" fontId="178" fillId="0" borderId="183" xfId="12" applyFont="1" applyBorder="1" applyAlignment="1">
      <alignment horizontal="center" vertical="center"/>
    </xf>
    <xf numFmtId="3" fontId="178" fillId="0" borderId="161" xfId="3" applyNumberFormat="1" applyFont="1" applyBorder="1" applyAlignment="1" applyProtection="1">
      <alignment horizontal="right" vertical="center"/>
      <protection locked="0"/>
    </xf>
    <xf numFmtId="3" fontId="178" fillId="0" borderId="162" xfId="3" applyNumberFormat="1" applyFont="1" applyBorder="1" applyAlignment="1" applyProtection="1">
      <alignment horizontal="right" vertical="center"/>
      <protection locked="0"/>
    </xf>
    <xf numFmtId="3" fontId="178" fillId="0" borderId="163" xfId="3" applyNumberFormat="1" applyFont="1" applyBorder="1" applyAlignment="1" applyProtection="1">
      <alignment horizontal="right" vertical="center"/>
      <protection locked="0"/>
    </xf>
    <xf numFmtId="0" fontId="134" fillId="0" borderId="151" xfId="12" applyFont="1" applyBorder="1" applyAlignment="1">
      <alignment horizontal="center" vertical="center"/>
    </xf>
    <xf numFmtId="0" fontId="134" fillId="0" borderId="150" xfId="12" applyFont="1" applyBorder="1" applyAlignment="1">
      <alignment horizontal="center" vertical="center"/>
    </xf>
    <xf numFmtId="0" fontId="134" fillId="0" borderId="155" xfId="12" applyFont="1" applyBorder="1" applyAlignment="1">
      <alignment horizontal="center" vertical="center"/>
    </xf>
    <xf numFmtId="0" fontId="178" fillId="0" borderId="161" xfId="12" applyFont="1" applyBorder="1" applyAlignment="1">
      <alignment horizontal="left" vertical="center"/>
    </xf>
    <xf numFmtId="0" fontId="178" fillId="0" borderId="163" xfId="12" applyFont="1" applyBorder="1" applyAlignment="1">
      <alignment horizontal="left" vertical="center"/>
    </xf>
    <xf numFmtId="172" fontId="178" fillId="0" borderId="161" xfId="3" applyNumberFormat="1" applyFont="1" applyBorder="1" applyAlignment="1">
      <alignment horizontal="right" vertical="center"/>
    </xf>
    <xf numFmtId="172" fontId="178" fillId="0" borderId="164" xfId="3" applyNumberFormat="1" applyFont="1" applyBorder="1" applyAlignment="1">
      <alignment horizontal="right" vertical="center"/>
    </xf>
    <xf numFmtId="172" fontId="178" fillId="0" borderId="111" xfId="3" applyNumberFormat="1" applyFont="1" applyBorder="1" applyAlignment="1">
      <alignment horizontal="right" vertical="center"/>
    </xf>
    <xf numFmtId="172" fontId="178" fillId="0" borderId="185" xfId="3" applyNumberFormat="1" applyFont="1" applyBorder="1" applyAlignment="1">
      <alignment horizontal="right" vertical="center"/>
    </xf>
    <xf numFmtId="0" fontId="134" fillId="0" borderId="152" xfId="12" applyFont="1" applyBorder="1" applyAlignment="1">
      <alignment horizontal="center" vertical="center"/>
    </xf>
    <xf numFmtId="0" fontId="134" fillId="0" borderId="153" xfId="12" applyFont="1" applyBorder="1" applyAlignment="1">
      <alignment horizontal="center" vertical="center"/>
    </xf>
    <xf numFmtId="0" fontId="134" fillId="0" borderId="154" xfId="12" applyFont="1" applyBorder="1" applyAlignment="1">
      <alignment horizontal="center" vertical="center"/>
    </xf>
    <xf numFmtId="4" fontId="178" fillId="0" borderId="140" xfId="3" applyNumberFormat="1" applyFont="1" applyBorder="1" applyAlignment="1">
      <alignment horizontal="right" vertical="center"/>
    </xf>
    <xf numFmtId="4" fontId="178" fillId="0" borderId="170" xfId="3" applyNumberFormat="1" applyFont="1" applyBorder="1" applyAlignment="1">
      <alignment horizontal="right" vertical="center"/>
    </xf>
    <xf numFmtId="172" fontId="178" fillId="0" borderId="141" xfId="3" applyNumberFormat="1" applyFont="1" applyBorder="1" applyAlignment="1">
      <alignment horizontal="right" vertical="center"/>
    </xf>
    <xf numFmtId="172" fontId="178" fillId="0" borderId="169" xfId="3" applyNumberFormat="1" applyFont="1" applyBorder="1" applyAlignment="1">
      <alignment horizontal="right" vertical="center"/>
    </xf>
    <xf numFmtId="4" fontId="178" fillId="0" borderId="161" xfId="3" applyNumberFormat="1" applyFont="1" applyBorder="1" applyAlignment="1">
      <alignment horizontal="right" vertical="center"/>
    </xf>
    <xf numFmtId="4" fontId="178" fillId="0" borderId="162" xfId="3" applyNumberFormat="1" applyFont="1" applyBorder="1" applyAlignment="1">
      <alignment horizontal="right" vertical="center"/>
    </xf>
    <xf numFmtId="4" fontId="178" fillId="0" borderId="163" xfId="3" applyNumberFormat="1" applyFont="1" applyBorder="1" applyAlignment="1">
      <alignment horizontal="right" vertical="center"/>
    </xf>
    <xf numFmtId="4" fontId="178" fillId="0" borderId="161" xfId="3" applyNumberFormat="1" applyFont="1" applyBorder="1" applyAlignment="1" applyProtection="1">
      <alignment horizontal="right" vertical="center"/>
      <protection locked="0"/>
    </xf>
    <xf numFmtId="4" fontId="178" fillId="0" borderId="162" xfId="3" applyNumberFormat="1" applyFont="1" applyBorder="1" applyAlignment="1" applyProtection="1">
      <alignment horizontal="right" vertical="center"/>
      <protection locked="0"/>
    </xf>
    <xf numFmtId="4" fontId="178" fillId="0" borderId="163" xfId="3" applyNumberFormat="1" applyFont="1" applyBorder="1" applyAlignment="1" applyProtection="1">
      <alignment horizontal="right" vertical="center"/>
      <protection locked="0"/>
    </xf>
    <xf numFmtId="3" fontId="178" fillId="0" borderId="141" xfId="3" applyNumberFormat="1" applyFont="1" applyBorder="1" applyAlignment="1" applyProtection="1">
      <alignment horizontal="right" vertical="center"/>
      <protection locked="0"/>
    </xf>
    <xf numFmtId="3" fontId="178" fillId="0" borderId="142" xfId="3" applyNumberFormat="1" applyFont="1" applyBorder="1" applyAlignment="1" applyProtection="1">
      <alignment horizontal="right" vertical="center"/>
      <protection locked="0"/>
    </xf>
    <xf numFmtId="3" fontId="178" fillId="0" borderId="143" xfId="3" applyNumberFormat="1" applyFont="1" applyBorder="1" applyAlignment="1" applyProtection="1">
      <alignment horizontal="right" vertical="center"/>
      <protection locked="0"/>
    </xf>
    <xf numFmtId="0" fontId="178" fillId="0" borderId="141" xfId="12" applyFont="1" applyBorder="1" applyAlignment="1">
      <alignment horizontal="left" vertical="center"/>
    </xf>
    <xf numFmtId="0" fontId="178" fillId="0" borderId="143" xfId="12" applyFont="1" applyBorder="1" applyAlignment="1">
      <alignment horizontal="left" vertical="center"/>
    </xf>
    <xf numFmtId="4" fontId="178" fillId="0" borderId="138" xfId="3" applyNumberFormat="1" applyFont="1" applyBorder="1" applyAlignment="1">
      <alignment horizontal="right" vertical="center"/>
    </xf>
    <xf numFmtId="4" fontId="178" fillId="0" borderId="141" xfId="3" applyNumberFormat="1" applyFont="1" applyBorder="1" applyAlignment="1" applyProtection="1">
      <alignment horizontal="right" vertical="center"/>
      <protection locked="0"/>
    </xf>
    <xf numFmtId="4" fontId="178" fillId="0" borderId="142" xfId="3" applyNumberFormat="1" applyFont="1" applyBorder="1" applyAlignment="1" applyProtection="1">
      <alignment horizontal="right" vertical="center"/>
      <protection locked="0"/>
    </xf>
    <xf numFmtId="4" fontId="178" fillId="0" borderId="143" xfId="3" applyNumberFormat="1" applyFont="1" applyBorder="1" applyAlignment="1" applyProtection="1">
      <alignment horizontal="right" vertical="center"/>
      <protection locked="0"/>
    </xf>
    <xf numFmtId="4" fontId="178" fillId="0" borderId="175" xfId="3" applyNumberFormat="1" applyFont="1" applyBorder="1" applyAlignment="1">
      <alignment horizontal="right" vertical="center"/>
    </xf>
    <xf numFmtId="4" fontId="178" fillId="0" borderId="176" xfId="3" applyNumberFormat="1" applyFont="1" applyBorder="1" applyAlignment="1">
      <alignment horizontal="right" vertical="center"/>
    </xf>
    <xf numFmtId="0" fontId="178" fillId="0" borderId="158" xfId="12" applyFont="1" applyBorder="1" applyAlignment="1">
      <alignment horizontal="center" vertical="center"/>
    </xf>
    <xf numFmtId="0" fontId="178" fillId="0" borderId="159" xfId="12" applyFont="1" applyBorder="1" applyAlignment="1">
      <alignment horizontal="center" vertical="center"/>
    </xf>
    <xf numFmtId="0" fontId="178" fillId="0" borderId="160" xfId="12" applyFont="1" applyBorder="1" applyAlignment="1">
      <alignment horizontal="center" vertical="center"/>
    </xf>
    <xf numFmtId="4" fontId="178" fillId="0" borderId="177" xfId="3" applyNumberFormat="1" applyFont="1" applyBorder="1" applyAlignment="1">
      <alignment horizontal="right" vertical="center"/>
    </xf>
    <xf numFmtId="4" fontId="178" fillId="0" borderId="178" xfId="3" applyNumberFormat="1" applyFont="1" applyBorder="1" applyAlignment="1">
      <alignment horizontal="right" vertical="center"/>
    </xf>
    <xf numFmtId="0" fontId="134" fillId="0" borderId="147" xfId="12" applyFont="1" applyBorder="1" applyAlignment="1">
      <alignment horizontal="center" vertical="center"/>
    </xf>
    <xf numFmtId="0" fontId="134" fillId="0" borderId="148" xfId="12" applyFont="1" applyBorder="1" applyAlignment="1">
      <alignment horizontal="center" vertical="center"/>
    </xf>
    <xf numFmtId="0" fontId="134" fillId="0" borderId="149" xfId="12" applyFont="1" applyBorder="1" applyAlignment="1">
      <alignment horizontal="center" vertical="center"/>
    </xf>
    <xf numFmtId="0" fontId="178" fillId="0" borderId="156" xfId="12" applyFont="1" applyBorder="1" applyAlignment="1">
      <alignment horizontal="center" vertical="center"/>
    </xf>
    <xf numFmtId="0" fontId="178" fillId="0" borderId="157" xfId="12" applyFont="1" applyBorder="1" applyAlignment="1">
      <alignment horizontal="center" vertical="center"/>
    </xf>
    <xf numFmtId="0" fontId="178" fillId="0" borderId="166" xfId="12" applyFont="1" applyBorder="1" applyAlignment="1">
      <alignment horizontal="center" vertical="center"/>
    </xf>
    <xf numFmtId="0" fontId="178" fillId="0" borderId="167" xfId="12" applyFont="1" applyBorder="1" applyAlignment="1">
      <alignment horizontal="center" vertical="center"/>
    </xf>
    <xf numFmtId="0" fontId="178" fillId="0" borderId="144" xfId="12" applyFont="1" applyBorder="1" applyAlignment="1">
      <alignment horizontal="left" vertical="center"/>
    </xf>
    <xf numFmtId="0" fontId="178" fillId="0" borderId="145" xfId="12" applyFont="1" applyBorder="1" applyAlignment="1">
      <alignment horizontal="left" vertical="center"/>
    </xf>
    <xf numFmtId="0" fontId="178" fillId="0" borderId="168" xfId="12" applyFont="1" applyBorder="1" applyAlignment="1">
      <alignment horizontal="left" vertical="center"/>
    </xf>
    <xf numFmtId="0" fontId="178" fillId="0" borderId="144" xfId="12" applyFont="1" applyBorder="1" applyAlignment="1">
      <alignment horizontal="center" vertical="center"/>
    </xf>
    <xf numFmtId="0" fontId="178" fillId="0" borderId="145" xfId="12" applyFont="1" applyBorder="1" applyAlignment="1">
      <alignment horizontal="center" vertical="center"/>
    </xf>
    <xf numFmtId="0" fontId="178" fillId="0" borderId="168" xfId="12" applyFont="1" applyBorder="1" applyAlignment="1">
      <alignment horizontal="center" vertical="center"/>
    </xf>
    <xf numFmtId="3" fontId="178" fillId="0" borderId="111" xfId="3" applyNumberFormat="1" applyFont="1" applyBorder="1" applyAlignment="1" applyProtection="1">
      <alignment horizontal="right" vertical="center"/>
      <protection locked="0"/>
    </xf>
    <xf numFmtId="3" fontId="178" fillId="0" borderId="109" xfId="3" applyNumberFormat="1" applyFont="1" applyBorder="1" applyAlignment="1" applyProtection="1">
      <alignment horizontal="right" vertical="center"/>
      <protection locked="0"/>
    </xf>
    <xf numFmtId="3" fontId="178" fillId="0" borderId="110" xfId="3" applyNumberFormat="1" applyFont="1" applyBorder="1" applyAlignment="1" applyProtection="1">
      <alignment horizontal="right" vertical="center"/>
      <protection locked="0"/>
    </xf>
    <xf numFmtId="0" fontId="178" fillId="0" borderId="111" xfId="12" applyFont="1" applyBorder="1" applyAlignment="1">
      <alignment horizontal="left" vertical="center"/>
    </xf>
    <xf numFmtId="0" fontId="178" fillId="0" borderId="110" xfId="12" applyFont="1" applyBorder="1" applyAlignment="1">
      <alignment horizontal="left" vertical="center"/>
    </xf>
    <xf numFmtId="0" fontId="169" fillId="0" borderId="126" xfId="12" applyFont="1" applyBorder="1" applyAlignment="1">
      <alignment horizontal="center" vertical="center" wrapText="1"/>
    </xf>
    <xf numFmtId="0" fontId="169" fillId="0" borderId="127" xfId="12" applyFont="1" applyBorder="1" applyAlignment="1">
      <alignment horizontal="center" vertical="center" wrapText="1"/>
    </xf>
    <xf numFmtId="0" fontId="169" fillId="0" borderId="125" xfId="12" applyFont="1" applyBorder="1" applyAlignment="1">
      <alignment horizontal="center" vertical="center" wrapText="1"/>
    </xf>
    <xf numFmtId="0" fontId="169" fillId="0" borderId="139" xfId="12" applyFont="1" applyBorder="1" applyAlignment="1">
      <alignment horizontal="center" vertical="center" wrapText="1"/>
    </xf>
    <xf numFmtId="0" fontId="169" fillId="0" borderId="140" xfId="12" applyFont="1" applyBorder="1" applyAlignment="1">
      <alignment horizontal="center" vertical="center" wrapText="1"/>
    </xf>
    <xf numFmtId="0" fontId="169" fillId="0" borderId="138" xfId="12" applyFont="1" applyBorder="1" applyAlignment="1">
      <alignment horizontal="center" vertical="center" wrapText="1"/>
    </xf>
    <xf numFmtId="0" fontId="178" fillId="0" borderId="158" xfId="12" applyFont="1" applyBorder="1" applyAlignment="1">
      <alignment horizontal="left" vertical="center"/>
    </xf>
    <xf numFmtId="0" fontId="178" fillId="0" borderId="159" xfId="12" applyFont="1" applyBorder="1" applyAlignment="1">
      <alignment horizontal="left" vertical="center"/>
    </xf>
    <xf numFmtId="0" fontId="178" fillId="0" borderId="160" xfId="12" applyFont="1" applyBorder="1" applyAlignment="1">
      <alignment horizontal="left" vertical="center"/>
    </xf>
    <xf numFmtId="0" fontId="178" fillId="0" borderId="126" xfId="12" applyFont="1" applyBorder="1" applyAlignment="1">
      <alignment horizontal="center" vertical="center" wrapText="1"/>
    </xf>
    <xf numFmtId="0" fontId="178" fillId="0" borderId="127" xfId="12" applyFont="1" applyBorder="1" applyAlignment="1">
      <alignment horizontal="center" vertical="center" wrapText="1"/>
    </xf>
    <xf numFmtId="0" fontId="178" fillId="0" borderId="125" xfId="12" applyFont="1" applyBorder="1" applyAlignment="1">
      <alignment horizontal="center" vertical="center" wrapText="1"/>
    </xf>
    <xf numFmtId="0" fontId="178" fillId="0" borderId="79" xfId="12" applyFont="1" applyBorder="1" applyAlignment="1">
      <alignment horizontal="center" vertical="center" wrapText="1"/>
    </xf>
    <xf numFmtId="0" fontId="178" fillId="0" borderId="0" xfId="12" applyFont="1" applyAlignment="1">
      <alignment horizontal="center" vertical="center" wrapText="1"/>
    </xf>
    <xf numFmtId="0" fontId="178" fillId="0" borderId="80" xfId="12" applyFont="1" applyBorder="1" applyAlignment="1">
      <alignment horizontal="center" vertical="center" wrapText="1"/>
    </xf>
    <xf numFmtId="0" fontId="178" fillId="0" borderId="139" xfId="12" applyFont="1" applyBorder="1" applyAlignment="1">
      <alignment horizontal="center" vertical="center" wrapText="1"/>
    </xf>
    <xf numFmtId="0" fontId="178" fillId="0" borderId="140" xfId="12" applyFont="1" applyBorder="1" applyAlignment="1">
      <alignment horizontal="center" vertical="center" wrapText="1"/>
    </xf>
    <xf numFmtId="0" fontId="178" fillId="0" borderId="138" xfId="12" applyFont="1" applyBorder="1" applyAlignment="1">
      <alignment horizontal="center" vertical="center" wrapText="1"/>
    </xf>
    <xf numFmtId="0" fontId="169" fillId="0" borderId="173" xfId="12" applyFont="1" applyBorder="1" applyAlignment="1">
      <alignment horizontal="center" vertical="center" textRotation="90"/>
    </xf>
    <xf numFmtId="0" fontId="178" fillId="0" borderId="81" xfId="12" applyFont="1" applyBorder="1" applyAlignment="1">
      <alignment horizontal="center" vertical="center" textRotation="90"/>
    </xf>
    <xf numFmtId="0" fontId="178" fillId="0" borderId="190" xfId="12" applyFont="1" applyBorder="1" applyAlignment="1">
      <alignment horizontal="center" vertical="center" textRotation="90"/>
    </xf>
    <xf numFmtId="0" fontId="178" fillId="0" borderId="174" xfId="12" applyFont="1" applyBorder="1" applyAlignment="1">
      <alignment horizontal="left" vertical="center"/>
    </xf>
    <xf numFmtId="0" fontId="178" fillId="0" borderId="181" xfId="12" applyFont="1" applyBorder="1" applyAlignment="1">
      <alignment horizontal="left" vertical="center"/>
    </xf>
    <xf numFmtId="0" fontId="178" fillId="0" borderId="182" xfId="12" applyFont="1" applyBorder="1" applyAlignment="1">
      <alignment horizontal="left" vertical="center"/>
    </xf>
    <xf numFmtId="0" fontId="178" fillId="0" borderId="183" xfId="12" applyFont="1" applyBorder="1" applyAlignment="1">
      <alignment horizontal="left" vertical="center"/>
    </xf>
    <xf numFmtId="169" fontId="187" fillId="0" borderId="0" xfId="0" applyNumberFormat="1" applyFont="1" applyAlignment="1">
      <alignment horizontal="left"/>
    </xf>
    <xf numFmtId="169" fontId="149" fillId="0" borderId="0" xfId="0" applyNumberFormat="1" applyFont="1" applyAlignment="1">
      <alignment horizontal="left"/>
    </xf>
    <xf numFmtId="0" fontId="178" fillId="0" borderId="171" xfId="12" applyFont="1" applyBorder="1" applyAlignment="1">
      <alignment horizontal="center" vertical="center"/>
    </xf>
    <xf numFmtId="0" fontId="178" fillId="0" borderId="172" xfId="12" applyFont="1" applyBorder="1" applyAlignment="1">
      <alignment horizontal="center" vertical="center"/>
    </xf>
    <xf numFmtId="0" fontId="178" fillId="0" borderId="179" xfId="12" applyFont="1" applyBorder="1" applyAlignment="1">
      <alignment horizontal="center" vertical="center"/>
    </xf>
    <xf numFmtId="0" fontId="178" fillId="0" borderId="180" xfId="12" applyFont="1" applyBorder="1" applyAlignment="1">
      <alignment horizontal="center" vertical="center"/>
    </xf>
    <xf numFmtId="0" fontId="178" fillId="0" borderId="187" xfId="12" applyFont="1" applyBorder="1" applyAlignment="1">
      <alignment horizontal="center" vertical="center"/>
    </xf>
    <xf numFmtId="0" fontId="178" fillId="0" borderId="188" xfId="12" applyFont="1" applyBorder="1" applyAlignment="1">
      <alignment horizontal="center" vertical="center"/>
    </xf>
    <xf numFmtId="0" fontId="178" fillId="0" borderId="189" xfId="12" applyFont="1" applyBorder="1" applyAlignment="1">
      <alignment horizontal="center" vertical="center"/>
    </xf>
    <xf numFmtId="0" fontId="178" fillId="0" borderId="54" xfId="12" applyFont="1" applyBorder="1" applyAlignment="1">
      <alignment horizontal="left" vertical="center"/>
    </xf>
    <xf numFmtId="0" fontId="178" fillId="0" borderId="135" xfId="12" applyFont="1" applyBorder="1" applyAlignment="1">
      <alignment horizontal="left" vertical="center"/>
    </xf>
    <xf numFmtId="0" fontId="178" fillId="0" borderId="147" xfId="12" applyFont="1" applyBorder="1" applyAlignment="1">
      <alignment horizontal="center" vertical="center"/>
    </xf>
    <xf numFmtId="0" fontId="178" fillId="0" borderId="148" xfId="12" applyFont="1" applyBorder="1" applyAlignment="1">
      <alignment horizontal="center" vertical="center"/>
    </xf>
    <xf numFmtId="0" fontId="169" fillId="0" borderId="149" xfId="12" applyFont="1" applyBorder="1" applyAlignment="1">
      <alignment horizontal="right" vertical="center"/>
    </xf>
    <xf numFmtId="0" fontId="169" fillId="0" borderId="150" xfId="12" applyFont="1" applyBorder="1" applyAlignment="1">
      <alignment horizontal="right" vertical="center"/>
    </xf>
    <xf numFmtId="0" fontId="169" fillId="0" borderId="148" xfId="12" applyFont="1" applyBorder="1" applyAlignment="1">
      <alignment horizontal="right" vertical="center"/>
    </xf>
    <xf numFmtId="4" fontId="178" fillId="0" borderId="86" xfId="3" applyNumberFormat="1" applyFont="1" applyBorder="1" applyAlignment="1">
      <alignment horizontal="right" vertical="center"/>
    </xf>
    <xf numFmtId="4" fontId="178" fillId="0" borderId="88" xfId="3" applyNumberFormat="1" applyFont="1" applyBorder="1" applyAlignment="1">
      <alignment horizontal="right" vertical="center"/>
    </xf>
    <xf numFmtId="4" fontId="178" fillId="0" borderId="186" xfId="3" applyNumberFormat="1" applyFont="1" applyBorder="1" applyAlignment="1">
      <alignment horizontal="right" vertical="center"/>
    </xf>
    <xf numFmtId="4" fontId="178" fillId="0" borderId="111" xfId="3" applyNumberFormat="1" applyFont="1" applyBorder="1" applyAlignment="1" applyProtection="1">
      <alignment horizontal="right" vertical="center"/>
      <protection locked="0"/>
    </xf>
    <xf numFmtId="4" fontId="178" fillId="0" borderId="109" xfId="3" applyNumberFormat="1" applyFont="1" applyBorder="1" applyAlignment="1" applyProtection="1">
      <alignment horizontal="right" vertical="center"/>
      <protection locked="0"/>
    </xf>
    <xf numFmtId="4" fontId="178" fillId="0" borderId="110" xfId="3" applyNumberFormat="1" applyFont="1" applyBorder="1" applyAlignment="1" applyProtection="1">
      <alignment horizontal="right" vertical="center"/>
      <protection locked="0"/>
    </xf>
    <xf numFmtId="4" fontId="178" fillId="0" borderId="90" xfId="3" applyNumberFormat="1" applyFont="1" applyBorder="1" applyAlignment="1">
      <alignment horizontal="right" vertical="center"/>
    </xf>
    <xf numFmtId="0" fontId="178" fillId="0" borderId="93" xfId="12" applyFont="1" applyBorder="1" applyAlignment="1">
      <alignment horizontal="center" vertical="center" wrapText="1"/>
    </xf>
    <xf numFmtId="0" fontId="178" fillId="0" borderId="94" xfId="12" applyFont="1" applyBorder="1" applyAlignment="1">
      <alignment horizontal="center" vertical="center" wrapText="1"/>
    </xf>
    <xf numFmtId="0" fontId="178" fillId="0" borderId="95" xfId="12" applyFont="1" applyBorder="1" applyAlignment="1">
      <alignment horizontal="center" vertical="center" wrapText="1"/>
    </xf>
    <xf numFmtId="0" fontId="178" fillId="0" borderId="184" xfId="12" applyFont="1" applyBorder="1" applyAlignment="1">
      <alignment horizontal="justify" vertical="center"/>
    </xf>
    <xf numFmtId="0" fontId="178" fillId="0" borderId="182" xfId="12" applyFont="1" applyBorder="1" applyAlignment="1">
      <alignment horizontal="justify" vertical="center"/>
    </xf>
    <xf numFmtId="0" fontId="178" fillId="0" borderId="183" xfId="12" applyFont="1" applyBorder="1" applyAlignment="1">
      <alignment horizontal="justify" vertical="center"/>
    </xf>
    <xf numFmtId="4" fontId="169" fillId="0" borderId="152" xfId="3" applyNumberFormat="1" applyFont="1" applyBorder="1" applyAlignment="1">
      <alignment horizontal="right" vertical="center"/>
    </xf>
    <xf numFmtId="4" fontId="169" fillId="0" borderId="153" xfId="3" applyNumberFormat="1" applyFont="1" applyBorder="1" applyAlignment="1">
      <alignment horizontal="right" vertical="center"/>
    </xf>
    <xf numFmtId="4" fontId="169" fillId="0" borderId="154" xfId="3" applyNumberFormat="1" applyFont="1" applyBorder="1" applyAlignment="1">
      <alignment horizontal="right" vertical="center"/>
    </xf>
    <xf numFmtId="4" fontId="169" fillId="0" borderId="192" xfId="3" applyNumberFormat="1" applyFont="1" applyBorder="1" applyAlignment="1">
      <alignment horizontal="right" vertical="center"/>
    </xf>
    <xf numFmtId="4" fontId="169" fillId="0" borderId="193" xfId="3" applyNumberFormat="1" applyFont="1" applyBorder="1" applyAlignment="1">
      <alignment horizontal="right" vertical="center"/>
    </xf>
    <xf numFmtId="4" fontId="178" fillId="0" borderId="54" xfId="3" applyNumberFormat="1" applyFont="1" applyBorder="1" applyAlignment="1" applyProtection="1">
      <alignment horizontal="right" vertical="center"/>
      <protection locked="0"/>
    </xf>
    <xf numFmtId="4" fontId="178" fillId="0" borderId="74" xfId="3" applyNumberFormat="1" applyFont="1" applyBorder="1" applyAlignment="1" applyProtection="1">
      <alignment horizontal="right" vertical="center"/>
      <protection locked="0"/>
    </xf>
    <xf numFmtId="4" fontId="178" fillId="0" borderId="135" xfId="3" applyNumberFormat="1" applyFont="1" applyBorder="1" applyAlignment="1" applyProtection="1">
      <alignment horizontal="right" vertical="center"/>
      <protection locked="0"/>
    </xf>
    <xf numFmtId="0" fontId="178" fillId="0" borderId="134" xfId="12" applyFont="1" applyBorder="1" applyAlignment="1">
      <alignment horizontal="center" vertical="center"/>
    </xf>
    <xf numFmtId="0" fontId="178" fillId="0" borderId="80" xfId="12" applyFont="1" applyBorder="1" applyAlignment="1">
      <alignment horizontal="center" vertical="center"/>
    </xf>
    <xf numFmtId="172" fontId="178" fillId="0" borderId="54" xfId="3" applyNumberFormat="1" applyFont="1" applyBorder="1" applyAlignment="1">
      <alignment horizontal="right" vertical="center"/>
    </xf>
    <xf numFmtId="172" fontId="178" fillId="0" borderId="22" xfId="3" applyNumberFormat="1" applyFont="1" applyBorder="1" applyAlignment="1">
      <alignment horizontal="right" vertical="center"/>
    </xf>
    <xf numFmtId="4" fontId="178" fillId="0" borderId="0" xfId="3" applyNumberFormat="1" applyFont="1" applyAlignment="1">
      <alignment horizontal="right" vertical="center"/>
    </xf>
    <xf numFmtId="4" fontId="178" fillId="0" borderId="191" xfId="3" applyNumberFormat="1" applyFont="1" applyBorder="1" applyAlignment="1">
      <alignment horizontal="right" vertical="center"/>
    </xf>
    <xf numFmtId="4" fontId="178" fillId="0" borderId="80" xfId="3" applyNumberFormat="1" applyFont="1" applyBorder="1" applyAlignment="1">
      <alignment horizontal="right" vertical="center"/>
    </xf>
    <xf numFmtId="173" fontId="178" fillId="0" borderId="111" xfId="3" applyNumberFormat="1" applyFont="1" applyBorder="1" applyAlignment="1">
      <alignment horizontal="right" vertical="center"/>
    </xf>
    <xf numFmtId="173" fontId="178" fillId="0" borderId="185" xfId="3" applyNumberFormat="1" applyFont="1" applyBorder="1" applyAlignment="1">
      <alignment horizontal="right" vertical="center"/>
    </xf>
    <xf numFmtId="173" fontId="178" fillId="0" borderId="141" xfId="3" applyNumberFormat="1" applyFont="1" applyBorder="1" applyAlignment="1">
      <alignment horizontal="right" vertical="center"/>
    </xf>
    <xf numFmtId="173" fontId="178" fillId="0" borderId="169" xfId="3" applyNumberFormat="1" applyFont="1" applyBorder="1" applyAlignment="1">
      <alignment horizontal="right" vertical="center"/>
    </xf>
    <xf numFmtId="4" fontId="178" fillId="0" borderId="158" xfId="3" applyNumberFormat="1" applyFont="1" applyBorder="1" applyAlignment="1">
      <alignment horizontal="right" vertical="center"/>
    </xf>
    <xf numFmtId="4" fontId="178" fillId="0" borderId="159" xfId="3" applyNumberFormat="1" applyFont="1" applyBorder="1" applyAlignment="1">
      <alignment horizontal="right" vertical="center"/>
    </xf>
    <xf numFmtId="4" fontId="178" fillId="0" borderId="165" xfId="3" applyNumberFormat="1" applyFont="1" applyBorder="1" applyAlignment="1">
      <alignment horizontal="right" vertical="center"/>
    </xf>
    <xf numFmtId="0" fontId="110" fillId="0" borderId="0" xfId="12" applyFont="1" applyAlignment="1">
      <alignment horizontal="center" vertical="center"/>
    </xf>
    <xf numFmtId="0" fontId="239" fillId="0" borderId="128" xfId="12" applyFont="1" applyBorder="1" applyAlignment="1">
      <alignment horizontal="center" vertical="center" wrapText="1"/>
    </xf>
    <xf numFmtId="0" fontId="239" fillId="0" borderId="129" xfId="12" applyFont="1" applyBorder="1" applyAlignment="1">
      <alignment horizontal="center" vertical="center" wrapText="1"/>
    </xf>
    <xf numFmtId="0" fontId="239" fillId="0" borderId="130" xfId="12" applyFont="1" applyBorder="1" applyAlignment="1">
      <alignment horizontal="center" vertical="center" wrapText="1"/>
    </xf>
    <xf numFmtId="0" fontId="239" fillId="0" borderId="54" xfId="12" applyFont="1" applyBorder="1" applyAlignment="1">
      <alignment horizontal="center" vertical="center" wrapText="1"/>
    </xf>
    <xf numFmtId="0" fontId="239" fillId="0" borderId="74" xfId="12" applyFont="1" applyBorder="1" applyAlignment="1">
      <alignment horizontal="center" vertical="center" wrapText="1"/>
    </xf>
    <xf numFmtId="0" fontId="239" fillId="0" borderId="135" xfId="12" applyFont="1" applyBorder="1" applyAlignment="1">
      <alignment horizontal="center" vertical="center" wrapText="1"/>
    </xf>
    <xf numFmtId="0" fontId="239" fillId="0" borderId="141" xfId="12" applyFont="1" applyBorder="1" applyAlignment="1">
      <alignment horizontal="center" vertical="center" wrapText="1"/>
    </xf>
    <xf numFmtId="0" fontId="239" fillId="0" borderId="142" xfId="12" applyFont="1" applyBorder="1" applyAlignment="1">
      <alignment horizontal="center" vertical="center" wrapText="1"/>
    </xf>
    <xf numFmtId="0" fontId="239" fillId="0" borderId="143" xfId="12" applyFont="1" applyBorder="1" applyAlignment="1">
      <alignment horizontal="center" vertical="center" wrapText="1"/>
    </xf>
    <xf numFmtId="0" fontId="239" fillId="0" borderId="127" xfId="12" applyFont="1" applyBorder="1" applyAlignment="1">
      <alignment horizontal="center" vertical="center" wrapText="1"/>
    </xf>
    <xf numFmtId="0" fontId="239" fillId="0" borderId="125" xfId="12" applyFont="1" applyBorder="1" applyAlignment="1">
      <alignment horizontal="center" vertical="center" wrapText="1"/>
    </xf>
    <xf numFmtId="0" fontId="239" fillId="0" borderId="0" xfId="12" applyFont="1" applyAlignment="1">
      <alignment horizontal="center" vertical="center" wrapText="1"/>
    </xf>
    <xf numFmtId="0" fontId="239" fillId="0" borderId="80" xfId="12" applyFont="1" applyBorder="1" applyAlignment="1">
      <alignment horizontal="center" vertical="center" wrapText="1"/>
    </xf>
    <xf numFmtId="0" fontId="239" fillId="0" borderId="140" xfId="12" applyFont="1" applyBorder="1" applyAlignment="1">
      <alignment horizontal="center" vertical="center" wrapText="1"/>
    </xf>
    <xf numFmtId="0" fontId="239" fillId="0" borderId="138" xfId="12" applyFont="1" applyBorder="1" applyAlignment="1">
      <alignment horizontal="center" vertical="center" wrapText="1"/>
    </xf>
    <xf numFmtId="0" fontId="239" fillId="0" borderId="128" xfId="12" applyFont="1" applyBorder="1" applyAlignment="1">
      <alignment horizontal="center" vertical="center"/>
    </xf>
    <xf numFmtId="0" fontId="239" fillId="0" borderId="129" xfId="12" applyFont="1" applyBorder="1" applyAlignment="1">
      <alignment horizontal="center" vertical="center"/>
    </xf>
    <xf numFmtId="0" fontId="239" fillId="0" borderId="130" xfId="12" applyFont="1" applyBorder="1" applyAlignment="1">
      <alignment horizontal="center" vertical="center"/>
    </xf>
    <xf numFmtId="0" fontId="239" fillId="0" borderId="54" xfId="12" applyFont="1" applyBorder="1" applyAlignment="1">
      <alignment horizontal="center" vertical="center"/>
    </xf>
    <xf numFmtId="0" fontId="239" fillId="0" borderId="74" xfId="12" applyFont="1" applyBorder="1" applyAlignment="1">
      <alignment horizontal="center" vertical="center"/>
    </xf>
    <xf numFmtId="0" fontId="239" fillId="0" borderId="135" xfId="12" applyFont="1" applyBorder="1" applyAlignment="1">
      <alignment horizontal="center" vertical="center"/>
    </xf>
    <xf numFmtId="0" fontId="239" fillId="0" borderId="141" xfId="12" applyFont="1" applyBorder="1" applyAlignment="1">
      <alignment horizontal="center" vertical="center"/>
    </xf>
    <xf numFmtId="0" fontId="239" fillId="0" borderId="142" xfId="12" applyFont="1" applyBorder="1" applyAlignment="1">
      <alignment horizontal="center" vertical="center"/>
    </xf>
    <xf numFmtId="0" fontId="239" fillId="0" borderId="143" xfId="12" applyFont="1" applyBorder="1" applyAlignment="1">
      <alignment horizontal="center" vertical="center"/>
    </xf>
    <xf numFmtId="0" fontId="239" fillId="0" borderId="126" xfId="12" applyFont="1" applyBorder="1" applyAlignment="1">
      <alignment horizontal="center" vertical="center"/>
    </xf>
    <xf numFmtId="0" fontId="239" fillId="0" borderId="127" xfId="12" applyFont="1" applyBorder="1" applyAlignment="1">
      <alignment horizontal="center" vertical="center"/>
    </xf>
    <xf numFmtId="0" fontId="239" fillId="0" borderId="125" xfId="12" applyFont="1" applyBorder="1" applyAlignment="1">
      <alignment horizontal="center" vertical="center"/>
    </xf>
    <xf numFmtId="0" fontId="239" fillId="0" borderId="79" xfId="12" applyFont="1" applyBorder="1" applyAlignment="1">
      <alignment horizontal="center" vertical="center"/>
    </xf>
    <xf numFmtId="0" fontId="239" fillId="0" borderId="0" xfId="12" applyFont="1" applyAlignment="1">
      <alignment horizontal="center" vertical="center"/>
    </xf>
    <xf numFmtId="0" fontId="239" fillId="0" borderId="80" xfId="12" applyFont="1" applyBorder="1" applyAlignment="1">
      <alignment horizontal="center" vertical="center"/>
    </xf>
    <xf numFmtId="0" fontId="239" fillId="0" borderId="139" xfId="12" applyFont="1" applyBorder="1" applyAlignment="1">
      <alignment horizontal="center" vertical="center"/>
    </xf>
    <xf numFmtId="0" fontId="239" fillId="0" borderId="140" xfId="12" applyFont="1" applyBorder="1" applyAlignment="1">
      <alignment horizontal="center" vertical="center"/>
    </xf>
    <xf numFmtId="0" fontId="239" fillId="0" borderId="138" xfId="12" applyFont="1" applyBorder="1" applyAlignment="1">
      <alignment horizontal="center" vertical="center"/>
    </xf>
    <xf numFmtId="0" fontId="239" fillId="0" borderId="144" xfId="12" applyFont="1" applyBorder="1" applyAlignment="1">
      <alignment horizontal="center" vertical="center"/>
    </xf>
    <xf numFmtId="0" fontId="239" fillId="0" borderId="145" xfId="12" applyFont="1" applyBorder="1" applyAlignment="1">
      <alignment horizontal="center" vertical="center"/>
    </xf>
    <xf numFmtId="0" fontId="239" fillId="0" borderId="146" xfId="12" applyFont="1" applyBorder="1" applyAlignment="1">
      <alignment horizontal="center" vertical="center"/>
    </xf>
    <xf numFmtId="0" fontId="239" fillId="0" borderId="1" xfId="12" applyFont="1" applyBorder="1" applyAlignment="1">
      <alignment horizontal="center" vertical="center"/>
    </xf>
    <xf numFmtId="0" fontId="239" fillId="0" borderId="7" xfId="12" applyFont="1" applyBorder="1" applyAlignment="1">
      <alignment horizontal="center" vertical="center"/>
    </xf>
    <xf numFmtId="0" fontId="239" fillId="0" borderId="136" xfId="12" applyFont="1" applyBorder="1" applyAlignment="1">
      <alignment horizontal="center" vertical="center"/>
    </xf>
    <xf numFmtId="0" fontId="239" fillId="0" borderId="124" xfId="12" applyFont="1" applyBorder="1" applyAlignment="1">
      <alignment horizontal="center" vertical="center" wrapText="1"/>
    </xf>
    <xf numFmtId="0" fontId="239" fillId="0" borderId="134" xfId="12" applyFont="1" applyBorder="1" applyAlignment="1">
      <alignment horizontal="center" vertical="center" wrapText="1"/>
    </xf>
    <xf numFmtId="0" fontId="239" fillId="0" borderId="137" xfId="12" applyFont="1" applyBorder="1" applyAlignment="1">
      <alignment horizontal="center" vertical="center" wrapText="1"/>
    </xf>
    <xf numFmtId="0" fontId="239" fillId="0" borderId="131" xfId="12" applyFont="1" applyBorder="1" applyAlignment="1">
      <alignment horizontal="center" vertical="center"/>
    </xf>
    <xf numFmtId="0" fontId="239" fillId="0" borderId="132" xfId="12" applyFont="1" applyBorder="1" applyAlignment="1">
      <alignment horizontal="center" vertical="center"/>
    </xf>
    <xf numFmtId="0" fontId="239" fillId="0" borderId="133" xfId="12" applyFont="1" applyBorder="1" applyAlignment="1">
      <alignment horizontal="center" vertical="center"/>
    </xf>
    <xf numFmtId="0" fontId="116" fillId="0" borderId="0" xfId="12" applyFont="1" applyAlignment="1">
      <alignment horizontal="center" vertical="center"/>
    </xf>
    <xf numFmtId="0" fontId="169" fillId="0" borderId="198" xfId="12" applyFont="1" applyBorder="1" applyAlignment="1">
      <alignment horizontal="center" vertical="center"/>
    </xf>
    <xf numFmtId="0" fontId="169" fillId="0" borderId="196" xfId="12" applyFont="1" applyBorder="1" applyAlignment="1">
      <alignment horizontal="center" vertical="center"/>
    </xf>
    <xf numFmtId="0" fontId="169" fillId="0" borderId="199" xfId="12" applyFont="1" applyBorder="1" applyAlignment="1">
      <alignment horizontal="center" vertical="center"/>
    </xf>
    <xf numFmtId="0" fontId="169" fillId="0" borderId="204" xfId="12" applyFont="1" applyBorder="1" applyAlignment="1">
      <alignment horizontal="center" vertical="center"/>
    </xf>
    <xf numFmtId="0" fontId="169" fillId="0" borderId="202" xfId="12" applyFont="1" applyBorder="1" applyAlignment="1">
      <alignment horizontal="center" vertical="center"/>
    </xf>
    <xf numFmtId="0" fontId="169" fillId="0" borderId="205" xfId="12" applyFont="1" applyBorder="1" applyAlignment="1">
      <alignment horizontal="center" vertical="center"/>
    </xf>
    <xf numFmtId="0" fontId="169" fillId="0" borderId="195" xfId="12" applyFont="1" applyBorder="1" applyAlignment="1">
      <alignment horizontal="center" vertical="center"/>
    </xf>
    <xf numFmtId="0" fontId="169" fillId="0" borderId="197" xfId="12" applyFont="1" applyBorder="1" applyAlignment="1">
      <alignment horizontal="center" vertical="center"/>
    </xf>
    <xf numFmtId="0" fontId="169" fillId="0" borderId="201" xfId="12" applyFont="1" applyBorder="1" applyAlignment="1">
      <alignment horizontal="center" vertical="center"/>
    </xf>
    <xf numFmtId="0" fontId="169" fillId="0" borderId="203" xfId="12" applyFont="1" applyBorder="1" applyAlignment="1">
      <alignment horizontal="center" vertical="center"/>
    </xf>
    <xf numFmtId="0" fontId="178" fillId="0" borderId="218" xfId="12" applyFont="1" applyBorder="1" applyAlignment="1">
      <alignment horizontal="center" vertical="center"/>
    </xf>
    <xf numFmtId="0" fontId="178" fillId="0" borderId="142" xfId="12" applyFont="1" applyBorder="1" applyAlignment="1">
      <alignment horizontal="center" vertical="center"/>
    </xf>
    <xf numFmtId="0" fontId="178" fillId="0" borderId="143" xfId="12" applyFont="1" applyBorder="1" applyAlignment="1">
      <alignment horizontal="center" vertical="center"/>
    </xf>
    <xf numFmtId="0" fontId="178" fillId="0" borderId="216" xfId="12" applyFont="1" applyBorder="1" applyAlignment="1">
      <alignment horizontal="center" vertical="center"/>
    </xf>
    <xf numFmtId="0" fontId="178" fillId="0" borderId="110" xfId="12" applyFont="1" applyBorder="1" applyAlignment="1">
      <alignment horizontal="center" vertical="center"/>
    </xf>
    <xf numFmtId="0" fontId="179" fillId="0" borderId="152" xfId="12" applyFont="1" applyBorder="1" applyAlignment="1">
      <alignment horizontal="center" vertical="center"/>
    </xf>
    <xf numFmtId="0" fontId="179" fillId="0" borderId="153" xfId="12" applyFont="1" applyBorder="1" applyAlignment="1">
      <alignment horizontal="center" vertical="center"/>
    </xf>
    <xf numFmtId="0" fontId="179" fillId="0" borderId="210" xfId="12" applyFont="1" applyBorder="1" applyAlignment="1">
      <alignment horizontal="center" vertical="center"/>
    </xf>
    <xf numFmtId="0" fontId="178" fillId="0" borderId="211" xfId="12" applyFont="1" applyBorder="1" applyAlignment="1">
      <alignment horizontal="center" vertical="center"/>
    </xf>
    <xf numFmtId="0" fontId="178" fillId="0" borderId="162" xfId="12" applyFont="1" applyBorder="1" applyAlignment="1">
      <alignment horizontal="center" vertical="center"/>
    </xf>
    <xf numFmtId="0" fontId="178" fillId="0" borderId="163" xfId="12" applyFont="1" applyBorder="1" applyAlignment="1">
      <alignment horizontal="center" vertical="center"/>
    </xf>
    <xf numFmtId="4" fontId="178" fillId="0" borderId="211" xfId="3" applyNumberFormat="1" applyFont="1" applyBorder="1" applyAlignment="1" applyProtection="1">
      <alignment horizontal="right" vertical="center"/>
      <protection locked="0"/>
    </xf>
    <xf numFmtId="4" fontId="178" fillId="0" borderId="212" xfId="3" applyNumberFormat="1" applyFont="1" applyBorder="1" applyAlignment="1" applyProtection="1">
      <alignment horizontal="right" vertical="center"/>
      <protection locked="0"/>
    </xf>
    <xf numFmtId="0" fontId="178" fillId="0" borderId="114" xfId="12" applyFont="1" applyBorder="1" applyAlignment="1">
      <alignment horizontal="center" vertical="center"/>
    </xf>
    <xf numFmtId="0" fontId="178" fillId="0" borderId="112" xfId="12" applyFont="1" applyBorder="1" applyAlignment="1">
      <alignment horizontal="center" vertical="center"/>
    </xf>
    <xf numFmtId="0" fontId="178" fillId="0" borderId="113" xfId="12" applyFont="1" applyBorder="1" applyAlignment="1">
      <alignment horizontal="center" vertical="center"/>
    </xf>
    <xf numFmtId="4" fontId="178" fillId="0" borderId="214" xfId="3" applyNumberFormat="1" applyFont="1" applyBorder="1" applyAlignment="1" applyProtection="1">
      <alignment horizontal="right" vertical="center"/>
      <protection locked="0"/>
    </xf>
    <xf numFmtId="4" fontId="178" fillId="0" borderId="112" xfId="3" applyNumberFormat="1" applyFont="1" applyBorder="1" applyAlignment="1" applyProtection="1">
      <alignment horizontal="right" vertical="center"/>
      <protection locked="0"/>
    </xf>
    <xf numFmtId="4" fontId="178" fillId="0" borderId="215" xfId="3" applyNumberFormat="1" applyFont="1" applyBorder="1" applyAlignment="1" applyProtection="1">
      <alignment horizontal="right" vertical="center"/>
      <protection locked="0"/>
    </xf>
    <xf numFmtId="0" fontId="178" fillId="0" borderId="108" xfId="12" applyFont="1" applyBorder="1" applyAlignment="1">
      <alignment horizontal="center" vertical="center"/>
    </xf>
    <xf numFmtId="0" fontId="178" fillId="0" borderId="109" xfId="12" applyFont="1" applyBorder="1" applyAlignment="1">
      <alignment horizontal="center" vertical="center"/>
    </xf>
    <xf numFmtId="4" fontId="178" fillId="0" borderId="108" xfId="3" applyNumberFormat="1" applyFont="1" applyBorder="1" applyAlignment="1">
      <alignment horizontal="right" vertical="center"/>
    </xf>
    <xf numFmtId="4" fontId="178" fillId="0" borderId="109" xfId="3" applyNumberFormat="1" applyFont="1" applyBorder="1" applyAlignment="1">
      <alignment horizontal="right" vertical="center"/>
    </xf>
    <xf numFmtId="4" fontId="178" fillId="0" borderId="217" xfId="3" applyNumberFormat="1" applyFont="1" applyBorder="1" applyAlignment="1">
      <alignment horizontal="right" vertical="center"/>
    </xf>
    <xf numFmtId="0" fontId="179" fillId="0" borderId="207" xfId="12" applyFont="1" applyBorder="1" applyAlignment="1">
      <alignment horizontal="center" vertical="center"/>
    </xf>
    <xf numFmtId="0" fontId="179" fillId="0" borderId="192" xfId="12" applyFont="1" applyBorder="1" applyAlignment="1">
      <alignment horizontal="center" vertical="center"/>
    </xf>
    <xf numFmtId="0" fontId="179" fillId="0" borderId="208" xfId="12" applyFont="1" applyBorder="1" applyAlignment="1">
      <alignment horizontal="center" vertical="center"/>
    </xf>
    <xf numFmtId="0" fontId="169" fillId="0" borderId="126" xfId="12" applyFont="1" applyBorder="1" applyAlignment="1">
      <alignment horizontal="center" vertical="center"/>
    </xf>
    <xf numFmtId="0" fontId="169" fillId="0" borderId="127" xfId="12" applyFont="1" applyBorder="1" applyAlignment="1">
      <alignment horizontal="center" vertical="center"/>
    </xf>
    <xf numFmtId="0" fontId="169" fillId="0" borderId="125" xfId="12" applyFont="1" applyBorder="1" applyAlignment="1">
      <alignment horizontal="center" vertical="center"/>
    </xf>
    <xf numFmtId="0" fontId="169" fillId="0" borderId="139" xfId="12" applyFont="1" applyBorder="1" applyAlignment="1">
      <alignment horizontal="center" vertical="center"/>
    </xf>
    <xf numFmtId="0" fontId="169" fillId="0" borderId="140" xfId="12" applyFont="1" applyBorder="1" applyAlignment="1">
      <alignment horizontal="center" vertical="center"/>
    </xf>
    <xf numFmtId="0" fontId="169" fillId="0" borderId="138" xfId="12" applyFont="1" applyBorder="1" applyAlignment="1">
      <alignment horizontal="center" vertical="center"/>
    </xf>
    <xf numFmtId="0" fontId="178" fillId="0" borderId="137" xfId="12" applyFont="1" applyBorder="1" applyAlignment="1">
      <alignment horizontal="center" vertical="center"/>
    </xf>
    <xf numFmtId="0" fontId="178" fillId="0" borderId="138" xfId="12" applyFont="1" applyBorder="1" applyAlignment="1">
      <alignment horizontal="center" vertical="center"/>
    </xf>
    <xf numFmtId="0" fontId="178" fillId="0" borderId="139" xfId="12" applyFont="1" applyBorder="1" applyAlignment="1">
      <alignment horizontal="left" vertical="center"/>
    </xf>
    <xf numFmtId="0" fontId="178" fillId="0" borderId="140" xfId="12" applyFont="1" applyBorder="1" applyAlignment="1">
      <alignment horizontal="left" vertical="center"/>
    </xf>
    <xf numFmtId="0" fontId="178" fillId="0" borderId="138" xfId="12" applyFont="1" applyBorder="1" applyAlignment="1">
      <alignment horizontal="left" vertical="center"/>
    </xf>
    <xf numFmtId="0" fontId="179" fillId="0" borderId="209" xfId="12" applyFont="1" applyBorder="1" applyAlignment="1">
      <alignment horizontal="center" vertical="center"/>
    </xf>
    <xf numFmtId="0" fontId="179" fillId="0" borderId="154" xfId="12" applyFont="1" applyBorder="1" applyAlignment="1">
      <alignment horizontal="center" vertical="center"/>
    </xf>
    <xf numFmtId="0" fontId="169" fillId="0" borderId="0" xfId="1" applyNumberFormat="1" applyFont="1" applyAlignment="1">
      <alignment horizontal="left" wrapText="1"/>
    </xf>
    <xf numFmtId="1" fontId="33" fillId="0" borderId="0" xfId="12" applyNumberFormat="1" applyFont="1" applyAlignment="1">
      <alignment horizontal="center" vertical="top" textRotation="90"/>
    </xf>
    <xf numFmtId="4" fontId="178" fillId="0" borderId="141" xfId="3" applyNumberFormat="1" applyFont="1" applyBorder="1" applyAlignment="1">
      <alignment horizontal="right" vertical="center"/>
    </xf>
    <xf numFmtId="4" fontId="178" fillId="0" borderId="142" xfId="3" applyNumberFormat="1" applyFont="1" applyBorder="1" applyAlignment="1">
      <alignment horizontal="right" vertical="center"/>
    </xf>
    <xf numFmtId="4" fontId="178" fillId="0" borderId="219" xfId="3" applyNumberFormat="1" applyFont="1" applyBorder="1" applyAlignment="1">
      <alignment horizontal="right" vertical="center"/>
    </xf>
    <xf numFmtId="10" fontId="178" fillId="0" borderId="111" xfId="17" applyNumberFormat="1" applyFont="1" applyBorder="1" applyAlignment="1">
      <alignment horizontal="right" vertical="center"/>
    </xf>
    <xf numFmtId="10" fontId="178" fillId="0" borderId="109" xfId="17" applyNumberFormat="1" applyFont="1" applyBorder="1" applyAlignment="1">
      <alignment horizontal="right" vertical="center"/>
    </xf>
    <xf numFmtId="10" fontId="178" fillId="0" borderId="217" xfId="17" applyNumberFormat="1" applyFont="1" applyBorder="1" applyAlignment="1">
      <alignment horizontal="right" vertical="center"/>
    </xf>
    <xf numFmtId="0" fontId="116" fillId="0" borderId="0" xfId="12" applyFont="1" applyAlignment="1">
      <alignment horizontal="center"/>
    </xf>
    <xf numFmtId="0" fontId="110" fillId="0" borderId="0" xfId="12" applyFont="1" applyAlignment="1">
      <alignment horizontal="center"/>
    </xf>
    <xf numFmtId="0" fontId="178" fillId="0" borderId="79" xfId="12" applyFont="1" applyBorder="1" applyAlignment="1">
      <alignment horizontal="left" vertical="center" wrapText="1"/>
    </xf>
    <xf numFmtId="0" fontId="178" fillId="0" borderId="0" xfId="12" applyFont="1" applyAlignment="1">
      <alignment horizontal="left" vertical="center" wrapText="1"/>
    </xf>
    <xf numFmtId="0" fontId="178" fillId="0" borderId="80" xfId="12" applyFont="1" applyBorder="1" applyAlignment="1">
      <alignment horizontal="left" vertical="center" wrapText="1"/>
    </xf>
    <xf numFmtId="0" fontId="178" fillId="0" borderId="87" xfId="12" applyFont="1" applyBorder="1" applyAlignment="1">
      <alignment horizontal="left" vertical="center" wrapText="1"/>
    </xf>
    <xf numFmtId="0" fontId="178" fillId="0" borderId="89" xfId="12" applyFont="1" applyBorder="1" applyAlignment="1">
      <alignment horizontal="left" vertical="center" wrapText="1"/>
    </xf>
    <xf numFmtId="0" fontId="178" fillId="0" borderId="91" xfId="12" applyFont="1" applyBorder="1" applyAlignment="1">
      <alignment horizontal="left" vertical="center" wrapText="1"/>
    </xf>
    <xf numFmtId="0" fontId="178" fillId="0" borderId="213" xfId="12" applyFont="1" applyBorder="1" applyAlignment="1">
      <alignment horizontal="center" vertical="center"/>
    </xf>
    <xf numFmtId="0" fontId="178" fillId="0" borderId="91" xfId="12" applyFont="1" applyBorder="1" applyAlignment="1">
      <alignment horizontal="center" vertical="center"/>
    </xf>
    <xf numFmtId="0" fontId="178" fillId="0" borderId="86" xfId="12" applyFont="1" applyBorder="1" applyAlignment="1">
      <alignment horizontal="left" vertical="center"/>
    </xf>
    <xf numFmtId="0" fontId="178" fillId="0" borderId="88" xfId="12" applyFont="1" applyBorder="1" applyAlignment="1">
      <alignment horizontal="left" vertical="center"/>
    </xf>
    <xf numFmtId="0" fontId="178" fillId="0" borderId="90" xfId="12" applyFont="1" applyBorder="1" applyAlignment="1">
      <alignment horizontal="left" vertical="center"/>
    </xf>
    <xf numFmtId="0" fontId="179" fillId="0" borderId="206" xfId="12" applyFont="1" applyBorder="1" applyAlignment="1">
      <alignment horizontal="center" vertical="center"/>
    </xf>
    <xf numFmtId="0" fontId="178" fillId="0" borderId="79" xfId="12" applyFont="1" applyBorder="1" applyAlignment="1">
      <alignment horizontal="left" vertical="center"/>
    </xf>
    <xf numFmtId="0" fontId="178" fillId="0" borderId="0" xfId="12" applyFont="1" applyAlignment="1">
      <alignment horizontal="left" vertical="center"/>
    </xf>
    <xf numFmtId="0" fontId="178" fillId="0" borderId="80" xfId="12" applyFont="1" applyBorder="1" applyAlignment="1">
      <alignment horizontal="left" vertical="center"/>
    </xf>
    <xf numFmtId="0" fontId="169" fillId="0" borderId="194" xfId="12" applyFont="1" applyBorder="1" applyAlignment="1">
      <alignment horizontal="center" vertical="center"/>
    </xf>
    <xf numFmtId="0" fontId="169" fillId="0" borderId="130" xfId="12" applyFont="1" applyBorder="1" applyAlignment="1">
      <alignment horizontal="center" vertical="center"/>
    </xf>
    <xf numFmtId="0" fontId="169" fillId="0" borderId="200" xfId="12" applyFont="1" applyBorder="1" applyAlignment="1">
      <alignment horizontal="center" vertical="center"/>
    </xf>
    <xf numFmtId="0" fontId="169" fillId="0" borderId="143" xfId="12" applyFont="1" applyBorder="1" applyAlignment="1">
      <alignment horizontal="center" vertical="center"/>
    </xf>
    <xf numFmtId="0" fontId="196" fillId="0" borderId="0" xfId="9" applyFont="1" applyAlignment="1">
      <alignment horizontal="left" wrapText="1"/>
    </xf>
    <xf numFmtId="1" fontId="83" fillId="0" borderId="0" xfId="9" applyNumberFormat="1" applyFont="1" applyAlignment="1">
      <alignment horizontal="center" vertical="top" textRotation="90"/>
    </xf>
    <xf numFmtId="0" fontId="115" fillId="0" borderId="0" xfId="9" applyFont="1" applyAlignment="1">
      <alignment horizontal="center"/>
    </xf>
    <xf numFmtId="0" fontId="116" fillId="0" borderId="0" xfId="9" applyFont="1" applyAlignment="1">
      <alignment horizontal="center" vertical="center" wrapText="1"/>
    </xf>
    <xf numFmtId="0" fontId="110" fillId="0" borderId="0" xfId="9" applyFont="1" applyAlignment="1">
      <alignment horizontal="center" vertical="center"/>
    </xf>
    <xf numFmtId="0" fontId="196" fillId="0" borderId="0" xfId="9" applyFont="1" applyAlignment="1">
      <alignment horizontal="left" vertical="top" wrapText="1"/>
    </xf>
    <xf numFmtId="0" fontId="116" fillId="0" borderId="0" xfId="9" applyFont="1" applyAlignment="1">
      <alignment horizontal="left" vertical="top" wrapText="1"/>
    </xf>
    <xf numFmtId="0" fontId="169" fillId="0" borderId="0" xfId="9" applyFont="1" applyAlignment="1">
      <alignment horizontal="center" vertical="center"/>
    </xf>
    <xf numFmtId="169" fontId="115" fillId="0" borderId="0" xfId="0" applyNumberFormat="1" applyFont="1" applyAlignment="1">
      <alignment horizontal="left"/>
    </xf>
    <xf numFmtId="0" fontId="199" fillId="0" borderId="0" xfId="0" applyFont="1" applyAlignment="1">
      <alignment horizontal="center" vertical="center"/>
    </xf>
    <xf numFmtId="0" fontId="203" fillId="0" borderId="0" xfId="0" applyFont="1" applyAlignment="1">
      <alignment horizontal="left" vertical="center"/>
    </xf>
    <xf numFmtId="0" fontId="246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top" textRotation="90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Hyperlink" xfId="6" builtinId="8"/>
    <cellStyle name="Hyperlink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 6" xfId="14" xr:uid="{00000000-0005-0000-0000-00000E000000}"/>
    <cellStyle name="Percent" xfId="15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</cellStyles>
  <dxfs count="11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b/>
        <i val="0"/>
        <color rgb="FFFF0000"/>
      </font>
    </dxf>
    <dxf>
      <fill>
        <patternFill>
          <bgColor rgb="FFFFC0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 patternType="solid">
          <bgColor theme="0"/>
        </patternFill>
      </fill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numFmt numFmtId="178" formatCode="\0??\/000\-0000"/>
    </dxf>
    <dxf>
      <numFmt numFmtId="179" formatCode="\000\/000\-000"/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numFmt numFmtId="178" formatCode="\0??\/000\-0000"/>
    </dxf>
    <dxf>
      <numFmt numFmtId="179" formatCode="\000\/000\-0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BE5D6"/>
      <rgbColor rgb="FF9C0006"/>
      <rgbColor rgb="FF008000"/>
      <rgbColor rgb="FF000080"/>
      <rgbColor rgb="FF548235"/>
      <rgbColor rgb="FF800080"/>
      <rgbColor rgb="FF0070C0"/>
      <rgbColor rgb="FFBFBFBF"/>
      <rgbColor rgb="FF808080"/>
      <rgbColor rgb="FF8FAADC"/>
      <rgbColor rgb="FF993366"/>
      <rgbColor rgb="FFFFF2CC"/>
      <rgbColor rgb="FFDEEBF7"/>
      <rgbColor rgb="FF660066"/>
      <rgbColor rgb="FFAFABAB"/>
      <rgbColor rgb="FF0563C1"/>
      <rgbColor rgb="FFBDD7EE"/>
      <rgbColor rgb="FF000080"/>
      <rgbColor rgb="FFFF00FF"/>
      <rgbColor rgb="FFFFD966"/>
      <rgbColor rgb="FF00FFFF"/>
      <rgbColor rgb="FF800080"/>
      <rgbColor rgb="FFC00000"/>
      <rgbColor rgb="FF008080"/>
      <rgbColor rgb="FF0000FF"/>
      <rgbColor rgb="FFD9D9D9"/>
      <rgbColor rgb="FFF2F2F2"/>
      <rgbColor rgb="FFC5E0B4"/>
      <rgbColor rgb="FFFFE699"/>
      <rgbColor rgb="FFB4C7E7"/>
      <rgbColor rgb="FFF4B183"/>
      <rgbColor rgb="FFADB9CA"/>
      <rgbColor rgb="FFF8CBAD"/>
      <rgbColor rgb="FF3366FF"/>
      <rgbColor rgb="FFD6DCE5"/>
      <rgbColor rgb="FF92D050"/>
      <rgbColor rgb="FFFFC000"/>
      <rgbColor rgb="FFFFC7CE"/>
      <rgbColor rgb="FFED7D31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8C8C8C"/>
      <color rgb="FF516DC7"/>
      <color rgb="FF7F76A2"/>
      <color rgb="FF2C47B8"/>
      <color rgb="FFBDD7EE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123840</xdr:rowOff>
    </xdr:from>
    <xdr:to>
      <xdr:col>9</xdr:col>
      <xdr:colOff>228600</xdr:colOff>
      <xdr:row>14</xdr:row>
      <xdr:rowOff>133350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66800" y="1771560"/>
          <a:ext cx="665640" cy="3924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27360" bIns="27360" anchor="ctr">
          <a:noAutofit/>
        </a:bodyPr>
        <a:lstStyle/>
        <a:p>
          <a:pPr algn="ctr">
            <a:lnSpc>
              <a:spcPct val="100000"/>
            </a:lnSpc>
          </a:pPr>
          <a:r>
            <a:rPr lang="x-none" sz="1100" b="0" strike="noStrike" spc="-1">
              <a:solidFill>
                <a:srgbClr val="000000"/>
              </a:solidFill>
              <a:latin typeface="Calibri"/>
            </a:rPr>
            <a:t>Konvertuj</a:t>
          </a:r>
          <a:endParaRPr lang="x-none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625998" cy="704780"/>
    <xdr:pic>
      <xdr:nvPicPr>
        <xdr:cNvPr id="2" name="Picture 1">
          <a:extLst>
            <a:ext uri="{FF2B5EF4-FFF2-40B4-BE49-F238E27FC236}">
              <a16:creationId xmlns:a16="http://schemas.microsoft.com/office/drawing/2014/main" id="{15BF046E-89D9-4379-82F5-0B292BE5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25998" cy="70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_Dev\Zehra\Radne%20verzije\Budzet\Bud&#382;etski%20korisnic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Uputstvo"/>
      <sheetName val="#Konverter"/>
      <sheetName val="#GII"/>
      <sheetName val="#UNOS"/>
      <sheetName val="OsnPodaci"/>
      <sheetName val="BS"/>
      <sheetName val="RPR"/>
      <sheetName val="#RPR"/>
      <sheetName val="INT"/>
      <sheetName val="IKIF"/>
      <sheetName val="#IKIF"/>
      <sheetName val="PPP"/>
      <sheetName val="INV01-1"/>
      <sheetName val="INV01-2"/>
      <sheetName val="#INT"/>
      <sheetName val="#BS"/>
      <sheetName val="ZS"/>
      <sheetName val="#PPP"/>
      <sheetName val="IzjNeaktiv"/>
    </sheetNames>
    <sheetDataSet>
      <sheetData sheetId="0" refreshError="1"/>
      <sheetData sheetId="1" refreshError="1"/>
      <sheetData sheetId="2">
        <row r="2">
          <cell r="E2" t="str">
            <v>Banovići</v>
          </cell>
          <cell r="AF2" t="str">
            <v>Redovni</v>
          </cell>
        </row>
        <row r="3">
          <cell r="E3" t="str">
            <v>Bihać</v>
          </cell>
          <cell r="AF3" t="str">
            <v>Redovni-izmijenjeni</v>
          </cell>
        </row>
        <row r="4">
          <cell r="E4" t="str">
            <v>Bosanska Krupa</v>
          </cell>
          <cell r="AF4" t="str">
            <v>Redovni-različit izvještajni period</v>
          </cell>
        </row>
        <row r="5">
          <cell r="E5" t="str">
            <v>Bosanski Petrovac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fia.ba/bs/kontrola-finansijskih-izvjestaja" TargetMode="External"/><Relationship Id="rId1" Type="http://schemas.openxmlformats.org/officeDocument/2006/relationships/hyperlink" Target="https://fia.ba/Upload/Fonts/BarCode39.tt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824"/>
  <sheetViews>
    <sheetView topLeftCell="AC1" zoomScaleNormal="100" workbookViewId="0">
      <selection activeCell="AI27" sqref="AI27"/>
    </sheetView>
  </sheetViews>
  <sheetFormatPr defaultColWidth="9.28515625" defaultRowHeight="15"/>
  <cols>
    <col min="1" max="1" width="22.85546875" style="3" bestFit="1" customWidth="1"/>
    <col min="2" max="3" width="14.5703125" style="3" bestFit="1" customWidth="1"/>
    <col min="4" max="4" width="22.85546875" style="3" bestFit="1" customWidth="1"/>
    <col min="5" max="5" width="12.85546875" style="3" bestFit="1" customWidth="1"/>
    <col min="6" max="6" width="32.7109375" style="3" bestFit="1" customWidth="1"/>
    <col min="7" max="7" width="13.5703125" style="3" bestFit="1" customWidth="1"/>
    <col min="8" max="8" width="7.140625" style="3" bestFit="1" customWidth="1"/>
    <col min="9" max="9" width="16.140625" style="3" bestFit="1" customWidth="1"/>
    <col min="10" max="10" width="203.140625" style="3" bestFit="1" customWidth="1"/>
    <col min="11" max="11" width="91.5703125" style="3" bestFit="1" customWidth="1"/>
    <col min="12" max="13" width="22.85546875" style="3" bestFit="1" customWidth="1"/>
    <col min="14" max="14" width="14.28515625" style="3" bestFit="1" customWidth="1"/>
    <col min="15" max="15" width="12.85546875" style="3" bestFit="1" customWidth="1"/>
    <col min="16" max="16" width="32.7109375" style="3" bestFit="1" customWidth="1"/>
    <col min="17" max="17" width="14.28515625" style="3" bestFit="1" customWidth="1"/>
    <col min="18" max="18" width="50.5703125" style="3" bestFit="1" customWidth="1"/>
    <col min="19" max="19" width="16.140625" style="3" bestFit="1" customWidth="1"/>
    <col min="20" max="20" width="9.85546875" style="3" bestFit="1" customWidth="1"/>
    <col min="21" max="21" width="7.140625" style="3" bestFit="1" customWidth="1"/>
    <col min="22" max="22" width="39.140625" style="3" bestFit="1" customWidth="1"/>
    <col min="23" max="23" width="39.140625" style="3" hidden="1" customWidth="1"/>
    <col min="24" max="24" width="43.7109375" style="3" bestFit="1" customWidth="1"/>
    <col min="25" max="25" width="15.85546875" style="3" customWidth="1"/>
    <col min="26" max="26" width="27.7109375" style="3" hidden="1" customWidth="1"/>
    <col min="27" max="27" width="52.5703125" style="108" bestFit="1" customWidth="1"/>
    <col min="28" max="28" width="15.7109375" style="109" bestFit="1" customWidth="1"/>
    <col min="29" max="29" width="20.7109375" style="3" bestFit="1" customWidth="1"/>
    <col min="30" max="30" width="10.85546875" style="99" bestFit="1" customWidth="1"/>
    <col min="31" max="31" width="94.85546875" style="99" bestFit="1" customWidth="1"/>
    <col min="32" max="32" width="21" style="100" bestFit="1" customWidth="1"/>
    <col min="33" max="33" width="32.7109375" style="3" bestFit="1" customWidth="1"/>
    <col min="34" max="34" width="13.140625" style="3" bestFit="1" customWidth="1"/>
    <col min="35" max="35" width="14.85546875" style="3" bestFit="1" customWidth="1"/>
    <col min="36" max="36" width="11.5703125" style="3" customWidth="1"/>
    <col min="37" max="37" width="22.85546875" style="3" bestFit="1" customWidth="1"/>
    <col min="38" max="38" width="14.5703125" style="101" bestFit="1" customWidth="1"/>
    <col min="39" max="39" width="32.7109375" style="3" bestFit="1" customWidth="1"/>
    <col min="40" max="40" width="12.85546875" style="3" bestFit="1" customWidth="1"/>
    <col min="41" max="41" width="36" style="3" bestFit="1" customWidth="1"/>
    <col min="42" max="42" width="9.28515625" style="3" customWidth="1"/>
    <col min="43" max="16384" width="9.28515625" style="3"/>
  </cols>
  <sheetData>
    <row r="1" spans="1:42">
      <c r="A1" s="3" t="s">
        <v>0</v>
      </c>
      <c r="B1" s="3" t="s">
        <v>1</v>
      </c>
      <c r="C1" s="3" t="s">
        <v>2</v>
      </c>
      <c r="D1" s="3" t="str">
        <f t="shared" ref="D1:D64" si="0">A1</f>
        <v>Opština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0</v>
      </c>
      <c r="M1" s="3" t="s">
        <v>10</v>
      </c>
      <c r="N1" s="3" t="s">
        <v>11</v>
      </c>
      <c r="O1" s="3" t="s">
        <v>12</v>
      </c>
      <c r="P1" s="3" t="s">
        <v>4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6</v>
      </c>
      <c r="V1" s="3" t="s">
        <v>17</v>
      </c>
      <c r="X1" s="3" t="s">
        <v>18</v>
      </c>
      <c r="Y1" s="96" t="s">
        <v>19</v>
      </c>
      <c r="Z1" s="96"/>
      <c r="AA1" s="97" t="s">
        <v>20</v>
      </c>
      <c r="AB1" s="98" t="s">
        <v>21</v>
      </c>
      <c r="AC1" s="3" t="s">
        <v>22</v>
      </c>
      <c r="AD1" s="99" t="s">
        <v>23</v>
      </c>
      <c r="AE1" s="99" t="s">
        <v>24</v>
      </c>
      <c r="AF1" s="100" t="s">
        <v>25</v>
      </c>
      <c r="AG1" s="3" t="s">
        <v>4</v>
      </c>
      <c r="AH1" s="3" t="s">
        <v>26</v>
      </c>
      <c r="AI1" s="3" t="s">
        <v>27</v>
      </c>
      <c r="AJ1" s="3" t="s">
        <v>28</v>
      </c>
      <c r="AK1" s="3" t="s">
        <v>0</v>
      </c>
      <c r="AL1" s="101" t="s">
        <v>29</v>
      </c>
      <c r="AM1" s="3" t="s">
        <v>4</v>
      </c>
      <c r="AN1" s="3" t="s">
        <v>30</v>
      </c>
      <c r="AO1" s="970" t="s">
        <v>31</v>
      </c>
      <c r="AP1" s="3" t="s">
        <v>32</v>
      </c>
    </row>
    <row r="2" spans="1:42">
      <c r="A2" s="3" t="s">
        <v>33</v>
      </c>
      <c r="B2" s="3" t="s">
        <v>34</v>
      </c>
      <c r="C2" s="3">
        <v>10014</v>
      </c>
      <c r="D2" s="3" t="str">
        <f t="shared" si="0"/>
        <v>Banovići</v>
      </c>
      <c r="E2" s="3">
        <v>75290</v>
      </c>
      <c r="F2" s="3" t="s">
        <v>35</v>
      </c>
      <c r="G2" s="3">
        <v>3</v>
      </c>
      <c r="H2" s="3" t="s">
        <v>36</v>
      </c>
      <c r="I2" s="3" t="s">
        <v>37</v>
      </c>
      <c r="J2" s="3" t="s">
        <v>38</v>
      </c>
      <c r="K2" s="3" t="s">
        <v>39</v>
      </c>
      <c r="L2" s="3" t="s">
        <v>40</v>
      </c>
      <c r="M2" s="3" t="s">
        <v>41</v>
      </c>
      <c r="N2" s="3">
        <v>72286</v>
      </c>
      <c r="O2" s="3">
        <v>11061</v>
      </c>
      <c r="P2" s="3" t="s">
        <v>42</v>
      </c>
      <c r="Q2" s="3" t="s">
        <v>43</v>
      </c>
      <c r="R2" s="3" t="s">
        <v>44</v>
      </c>
      <c r="S2" s="3" t="s">
        <v>45</v>
      </c>
      <c r="T2" s="3" t="s">
        <v>46</v>
      </c>
      <c r="U2" s="3" t="s">
        <v>36</v>
      </c>
      <c r="V2" s="3" t="s">
        <v>47</v>
      </c>
      <c r="X2" s="3" t="s">
        <v>48</v>
      </c>
      <c r="Y2" s="102" t="s">
        <v>49</v>
      </c>
      <c r="Z2" s="102"/>
      <c r="AA2" s="97" t="s">
        <v>50</v>
      </c>
      <c r="AB2" s="103" t="s">
        <v>51</v>
      </c>
      <c r="AC2" s="3" t="s">
        <v>52</v>
      </c>
      <c r="AD2" s="99">
        <v>10</v>
      </c>
      <c r="AE2" s="99" t="s">
        <v>53</v>
      </c>
      <c r="AF2" s="104">
        <f>VLOOKUP(F2,AG$2:AH$11,2,FALSE)</f>
        <v>5.0000000000000001E-4</v>
      </c>
      <c r="AG2" s="3" t="s">
        <v>35</v>
      </c>
      <c r="AH2" s="104">
        <v>5.0000000000000001E-4</v>
      </c>
      <c r="AI2" s="2" t="s">
        <v>54</v>
      </c>
      <c r="AJ2" s="3">
        <v>80</v>
      </c>
      <c r="AK2" s="3" t="s">
        <v>33</v>
      </c>
      <c r="AL2" s="101">
        <v>91</v>
      </c>
      <c r="AM2" s="3" t="s">
        <v>35</v>
      </c>
      <c r="AN2" s="3">
        <v>3</v>
      </c>
      <c r="AO2" s="971" t="s">
        <v>55</v>
      </c>
      <c r="AP2" s="3">
        <v>1</v>
      </c>
    </row>
    <row r="3" spans="1:42">
      <c r="A3" s="3" t="s">
        <v>54</v>
      </c>
      <c r="B3" s="3" t="s">
        <v>56</v>
      </c>
      <c r="C3" s="3">
        <v>10049</v>
      </c>
      <c r="D3" s="3" t="str">
        <f t="shared" si="0"/>
        <v>Bihać</v>
      </c>
      <c r="E3" s="3">
        <v>77000</v>
      </c>
      <c r="F3" s="3" t="s">
        <v>57</v>
      </c>
      <c r="G3" s="3">
        <v>1</v>
      </c>
      <c r="H3" s="3" t="s">
        <v>36</v>
      </c>
      <c r="I3" s="3" t="s">
        <v>58</v>
      </c>
      <c r="J3" s="3" t="s">
        <v>59</v>
      </c>
      <c r="K3" s="3" t="s">
        <v>60</v>
      </c>
      <c r="L3" s="3" t="s">
        <v>33</v>
      </c>
      <c r="M3" s="3" t="s">
        <v>33</v>
      </c>
      <c r="N3" s="3">
        <v>75290</v>
      </c>
      <c r="O3" s="3">
        <v>10014</v>
      </c>
      <c r="P3" s="3" t="s">
        <v>35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X3" s="3" t="s">
        <v>67</v>
      </c>
      <c r="Y3" s="102" t="s">
        <v>68</v>
      </c>
      <c r="Z3" s="102"/>
      <c r="AA3" s="97" t="s">
        <v>69</v>
      </c>
      <c r="AB3" s="103" t="s">
        <v>70</v>
      </c>
      <c r="AC3" s="3" t="s">
        <v>71</v>
      </c>
      <c r="AD3" s="99">
        <v>11</v>
      </c>
      <c r="AE3" s="99" t="s">
        <v>72</v>
      </c>
      <c r="AF3" s="104">
        <f t="shared" ref="AF3:AF66" si="1">VLOOKUP(F3,AG$2:AH$11,2,FALSE)</f>
        <v>6.9999999999999999E-4</v>
      </c>
      <c r="AG3" s="3" t="s">
        <v>57</v>
      </c>
      <c r="AH3" s="104">
        <v>6.9999999999999999E-4</v>
      </c>
      <c r="AI3" s="2" t="s">
        <v>73</v>
      </c>
      <c r="AJ3" s="3">
        <v>81</v>
      </c>
      <c r="AK3" s="3" t="s">
        <v>54</v>
      </c>
      <c r="AL3" s="101">
        <v>80</v>
      </c>
      <c r="AM3" s="3" t="s">
        <v>57</v>
      </c>
      <c r="AN3" s="3">
        <v>1</v>
      </c>
      <c r="AO3" s="971" t="s">
        <v>74</v>
      </c>
      <c r="AP3" s="3">
        <v>2</v>
      </c>
    </row>
    <row r="4" spans="1:42">
      <c r="A4" s="3" t="s">
        <v>73</v>
      </c>
      <c r="B4" s="3" t="s">
        <v>75</v>
      </c>
      <c r="C4" s="3">
        <v>11428</v>
      </c>
      <c r="D4" s="3" t="str">
        <f t="shared" si="0"/>
        <v>Bosanska Krupa</v>
      </c>
      <c r="E4" s="3">
        <v>77240</v>
      </c>
      <c r="F4" s="3" t="s">
        <v>57</v>
      </c>
      <c r="G4" s="3">
        <v>1</v>
      </c>
      <c r="H4" s="3" t="s">
        <v>36</v>
      </c>
      <c r="I4" s="3" t="s">
        <v>76</v>
      </c>
      <c r="J4" s="3" t="s">
        <v>77</v>
      </c>
      <c r="K4" s="3" t="s">
        <v>78</v>
      </c>
      <c r="L4" s="3" t="s">
        <v>79</v>
      </c>
      <c r="M4" s="3" t="s">
        <v>80</v>
      </c>
      <c r="N4" s="3">
        <v>72233</v>
      </c>
      <c r="O4" s="3">
        <v>11207</v>
      </c>
      <c r="P4" s="3" t="s">
        <v>81</v>
      </c>
      <c r="Q4" s="3" t="s">
        <v>82</v>
      </c>
      <c r="R4" s="3" t="s">
        <v>83</v>
      </c>
      <c r="S4" s="3" t="s">
        <v>84</v>
      </c>
      <c r="X4" s="3" t="s">
        <v>85</v>
      </c>
      <c r="Y4" s="102"/>
      <c r="Z4" s="102"/>
      <c r="AA4" s="97" t="s">
        <v>86</v>
      </c>
      <c r="AB4" s="103" t="s">
        <v>87</v>
      </c>
      <c r="AC4" s="3" t="s">
        <v>88</v>
      </c>
      <c r="AD4" s="99">
        <v>12</v>
      </c>
      <c r="AE4" s="99" t="s">
        <v>89</v>
      </c>
      <c r="AF4" s="104">
        <f t="shared" si="1"/>
        <v>6.9999999999999999E-4</v>
      </c>
      <c r="AG4" s="3" t="s">
        <v>90</v>
      </c>
      <c r="AH4" s="104">
        <v>6.9999999999999999E-4</v>
      </c>
      <c r="AI4" s="2" t="s">
        <v>91</v>
      </c>
      <c r="AJ4" s="3">
        <v>83</v>
      </c>
      <c r="AK4" s="3" t="s">
        <v>73</v>
      </c>
      <c r="AL4" s="101">
        <v>81</v>
      </c>
      <c r="AM4" s="3" t="s">
        <v>90</v>
      </c>
      <c r="AN4" s="3">
        <v>10</v>
      </c>
      <c r="AO4" s="971" t="s">
        <v>92</v>
      </c>
      <c r="AP4" s="3">
        <v>3</v>
      </c>
    </row>
    <row r="5" spans="1:42">
      <c r="A5" s="3" t="s">
        <v>93</v>
      </c>
      <c r="B5" s="3" t="s">
        <v>94</v>
      </c>
      <c r="C5" s="3">
        <v>11436</v>
      </c>
      <c r="D5" s="3" t="str">
        <f t="shared" si="0"/>
        <v>Bosanski Petrovac</v>
      </c>
      <c r="E5" s="3">
        <v>77250</v>
      </c>
      <c r="F5" s="3" t="s">
        <v>57</v>
      </c>
      <c r="G5" s="3">
        <v>1</v>
      </c>
      <c r="H5" s="3" t="s">
        <v>36</v>
      </c>
      <c r="I5" s="3" t="s">
        <v>95</v>
      </c>
      <c r="J5" s="3" t="s">
        <v>96</v>
      </c>
      <c r="K5" s="3" t="s">
        <v>97</v>
      </c>
      <c r="L5" s="3" t="s">
        <v>54</v>
      </c>
      <c r="M5" s="3" t="s">
        <v>54</v>
      </c>
      <c r="N5" s="3">
        <v>77000</v>
      </c>
      <c r="O5" s="3">
        <v>10049</v>
      </c>
      <c r="P5" s="3" t="s">
        <v>57</v>
      </c>
      <c r="Q5" s="3" t="s">
        <v>98</v>
      </c>
      <c r="R5" s="3" t="s">
        <v>99</v>
      </c>
      <c r="S5" s="3" t="s">
        <v>100</v>
      </c>
      <c r="X5" s="3" t="s">
        <v>101</v>
      </c>
      <c r="Y5" s="102"/>
      <c r="Z5" s="102"/>
      <c r="AA5" s="97" t="s">
        <v>102</v>
      </c>
      <c r="AB5" s="103" t="s">
        <v>103</v>
      </c>
      <c r="AC5" s="3" t="s">
        <v>104</v>
      </c>
      <c r="AD5" s="99">
        <v>13</v>
      </c>
      <c r="AE5" s="99" t="s">
        <v>105</v>
      </c>
      <c r="AF5" s="104">
        <f t="shared" si="1"/>
        <v>6.9999999999999999E-4</v>
      </c>
      <c r="AG5" s="3" t="s">
        <v>81</v>
      </c>
      <c r="AH5" s="104">
        <v>6.9999999999999999E-4</v>
      </c>
      <c r="AI5" s="2" t="s">
        <v>106</v>
      </c>
      <c r="AJ5" s="3">
        <v>116</v>
      </c>
      <c r="AK5" s="3" t="s">
        <v>93</v>
      </c>
      <c r="AL5" s="101">
        <v>82</v>
      </c>
      <c r="AM5" s="3" t="s">
        <v>81</v>
      </c>
      <c r="AN5" s="3">
        <v>4</v>
      </c>
      <c r="AO5" s="972" t="s">
        <v>107</v>
      </c>
      <c r="AP5" s="3">
        <v>4</v>
      </c>
    </row>
    <row r="6" spans="1:42">
      <c r="A6" s="3" t="s">
        <v>108</v>
      </c>
      <c r="B6" s="3" t="s">
        <v>109</v>
      </c>
      <c r="C6" s="3">
        <v>10146</v>
      </c>
      <c r="D6" s="3" t="str">
        <f t="shared" si="0"/>
        <v>Bosansko Grahovo</v>
      </c>
      <c r="E6" s="3">
        <v>80270</v>
      </c>
      <c r="F6" s="3" t="s">
        <v>90</v>
      </c>
      <c r="G6" s="3">
        <v>10</v>
      </c>
      <c r="H6" s="3" t="s">
        <v>36</v>
      </c>
      <c r="I6" s="3" t="s">
        <v>110</v>
      </c>
      <c r="J6" s="3" t="s">
        <v>111</v>
      </c>
      <c r="K6" s="3" t="s">
        <v>112</v>
      </c>
      <c r="L6" s="3" t="s">
        <v>113</v>
      </c>
      <c r="M6" s="3" t="s">
        <v>114</v>
      </c>
      <c r="N6" s="3">
        <v>72256</v>
      </c>
      <c r="O6" s="3">
        <v>11142</v>
      </c>
      <c r="P6" s="3" t="s">
        <v>42</v>
      </c>
      <c r="Q6" s="3" t="s">
        <v>115</v>
      </c>
      <c r="R6" s="3" t="s">
        <v>116</v>
      </c>
      <c r="S6" s="3" t="s">
        <v>117</v>
      </c>
      <c r="X6" s="3" t="s">
        <v>118</v>
      </c>
      <c r="Y6" s="102"/>
      <c r="AA6" s="97" t="s">
        <v>119</v>
      </c>
      <c r="AB6" s="103" t="s">
        <v>120</v>
      </c>
      <c r="AD6" s="99">
        <v>14</v>
      </c>
      <c r="AE6" s="99" t="s">
        <v>121</v>
      </c>
      <c r="AF6" s="104">
        <f t="shared" si="1"/>
        <v>6.9999999999999999E-4</v>
      </c>
      <c r="AG6" s="3" t="s">
        <v>42</v>
      </c>
      <c r="AH6" s="104">
        <v>4.0000000000000002E-4</v>
      </c>
      <c r="AI6" s="2" t="s">
        <v>122</v>
      </c>
      <c r="AJ6" s="3">
        <v>92</v>
      </c>
      <c r="AK6" s="3" t="s">
        <v>108</v>
      </c>
      <c r="AL6" s="101">
        <v>84</v>
      </c>
      <c r="AM6" s="3" t="s">
        <v>42</v>
      </c>
      <c r="AN6" s="3">
        <v>6</v>
      </c>
    </row>
    <row r="7" spans="1:42">
      <c r="A7" s="3" t="s">
        <v>123</v>
      </c>
      <c r="B7" s="3" t="s">
        <v>124</v>
      </c>
      <c r="C7" s="3">
        <v>10189</v>
      </c>
      <c r="D7" s="3" t="str">
        <f t="shared" si="0"/>
        <v>Breza</v>
      </c>
      <c r="E7" s="3">
        <v>71370</v>
      </c>
      <c r="F7" s="3" t="s">
        <v>81</v>
      </c>
      <c r="G7" s="3">
        <v>4</v>
      </c>
      <c r="H7" s="3" t="s">
        <v>36</v>
      </c>
      <c r="I7" s="3" t="s">
        <v>125</v>
      </c>
      <c r="J7" s="3" t="s">
        <v>126</v>
      </c>
      <c r="K7" s="3" t="s">
        <v>127</v>
      </c>
      <c r="L7" s="3" t="s">
        <v>128</v>
      </c>
      <c r="M7" s="3" t="s">
        <v>129</v>
      </c>
      <c r="N7" s="3">
        <v>71253</v>
      </c>
      <c r="O7" s="3">
        <v>10472</v>
      </c>
      <c r="P7" s="3" t="s">
        <v>42</v>
      </c>
      <c r="Q7" s="3" t="s">
        <v>130</v>
      </c>
      <c r="R7" s="3" t="s">
        <v>131</v>
      </c>
      <c r="X7" s="3" t="s">
        <v>132</v>
      </c>
      <c r="Y7" s="102"/>
      <c r="AA7" s="97" t="s">
        <v>133</v>
      </c>
      <c r="AB7" s="103" t="s">
        <v>134</v>
      </c>
      <c r="AD7" s="99">
        <v>15</v>
      </c>
      <c r="AE7" s="99" t="s">
        <v>135</v>
      </c>
      <c r="AF7" s="104">
        <f t="shared" si="1"/>
        <v>6.9999999999999999E-4</v>
      </c>
      <c r="AG7" s="3" t="s">
        <v>136</v>
      </c>
      <c r="AH7" s="104" t="s">
        <v>137</v>
      </c>
      <c r="AI7" s="2" t="s">
        <v>138</v>
      </c>
      <c r="AJ7" s="3">
        <v>93</v>
      </c>
      <c r="AK7" s="3" t="s">
        <v>123</v>
      </c>
      <c r="AL7" s="101">
        <v>104</v>
      </c>
      <c r="AM7" s="3" t="s">
        <v>136</v>
      </c>
      <c r="AN7" s="3">
        <v>7</v>
      </c>
    </row>
    <row r="8" spans="1:42">
      <c r="A8" s="3" t="s">
        <v>139</v>
      </c>
      <c r="B8" s="3" t="s">
        <v>140</v>
      </c>
      <c r="C8" s="3">
        <v>10197</v>
      </c>
      <c r="D8" s="3" t="str">
        <f t="shared" si="0"/>
        <v>Bugojno</v>
      </c>
      <c r="E8" s="3">
        <v>70230</v>
      </c>
      <c r="F8" s="3" t="s">
        <v>42</v>
      </c>
      <c r="G8" s="3">
        <v>6</v>
      </c>
      <c r="H8" s="3" t="s">
        <v>36</v>
      </c>
      <c r="I8" s="3" t="s">
        <v>141</v>
      </c>
      <c r="J8" s="3" t="s">
        <v>142</v>
      </c>
      <c r="K8" s="3" t="s">
        <v>143</v>
      </c>
      <c r="L8" s="3" t="s">
        <v>144</v>
      </c>
      <c r="M8" s="3" t="s">
        <v>145</v>
      </c>
      <c r="N8" s="3">
        <v>88268</v>
      </c>
      <c r="O8" s="3">
        <v>10260</v>
      </c>
      <c r="P8" s="3" t="s">
        <v>136</v>
      </c>
      <c r="Q8" s="3" t="s">
        <v>146</v>
      </c>
      <c r="R8" s="3" t="s">
        <v>147</v>
      </c>
      <c r="X8" s="3" t="s">
        <v>148</v>
      </c>
      <c r="Y8" s="102"/>
      <c r="AA8" s="97" t="s">
        <v>149</v>
      </c>
      <c r="AB8" s="103" t="s">
        <v>150</v>
      </c>
      <c r="AD8" s="99">
        <v>16</v>
      </c>
      <c r="AE8" s="99" t="s">
        <v>151</v>
      </c>
      <c r="AF8" s="104">
        <f t="shared" si="1"/>
        <v>4.0000000000000002E-4</v>
      </c>
      <c r="AG8" s="3" t="s">
        <v>152</v>
      </c>
      <c r="AH8" s="104">
        <v>1.4999999999999999E-4</v>
      </c>
      <c r="AI8" s="2" t="s">
        <v>153</v>
      </c>
      <c r="AJ8" s="3">
        <v>135</v>
      </c>
      <c r="AK8" s="3" t="s">
        <v>139</v>
      </c>
      <c r="AL8" s="101">
        <v>119</v>
      </c>
      <c r="AM8" s="3" t="s">
        <v>152</v>
      </c>
      <c r="AN8" s="3">
        <v>2</v>
      </c>
    </row>
    <row r="9" spans="1:42">
      <c r="A9" s="3" t="s">
        <v>154</v>
      </c>
      <c r="B9" s="3" t="s">
        <v>155</v>
      </c>
      <c r="C9" s="3">
        <v>10219</v>
      </c>
      <c r="D9" s="3" t="str">
        <f t="shared" si="0"/>
        <v>Busovača</v>
      </c>
      <c r="E9" s="3">
        <v>72260</v>
      </c>
      <c r="F9" s="3" t="s">
        <v>42</v>
      </c>
      <c r="G9" s="3">
        <v>6</v>
      </c>
      <c r="H9" s="3" t="s">
        <v>36</v>
      </c>
      <c r="I9" s="3" t="s">
        <v>156</v>
      </c>
      <c r="J9" s="3" t="s">
        <v>157</v>
      </c>
      <c r="K9" s="3" t="s">
        <v>158</v>
      </c>
      <c r="L9" s="3" t="s">
        <v>159</v>
      </c>
      <c r="M9" s="3" t="s">
        <v>160</v>
      </c>
      <c r="N9" s="3">
        <v>72248</v>
      </c>
      <c r="O9" s="3">
        <v>10448</v>
      </c>
      <c r="P9" s="3" t="s">
        <v>81</v>
      </c>
      <c r="Q9" s="3" t="s">
        <v>161</v>
      </c>
      <c r="R9" s="3" t="s">
        <v>162</v>
      </c>
      <c r="X9" s="3" t="s">
        <v>163</v>
      </c>
      <c r="Y9" s="102"/>
      <c r="AA9" s="97" t="s">
        <v>164</v>
      </c>
      <c r="AB9" s="103" t="s">
        <v>165</v>
      </c>
      <c r="AD9" s="99">
        <v>17</v>
      </c>
      <c r="AE9" s="99" t="s">
        <v>166</v>
      </c>
      <c r="AF9" s="104">
        <f t="shared" si="1"/>
        <v>4.0000000000000002E-4</v>
      </c>
      <c r="AG9" s="3" t="s">
        <v>167</v>
      </c>
      <c r="AH9" s="104">
        <v>5.0000000000000001E-4</v>
      </c>
      <c r="AI9" s="2" t="s">
        <v>168</v>
      </c>
      <c r="AJ9" s="3">
        <v>153</v>
      </c>
      <c r="AK9" s="3" t="s">
        <v>154</v>
      </c>
      <c r="AL9" s="101">
        <v>120</v>
      </c>
      <c r="AM9" s="3" t="s">
        <v>167</v>
      </c>
      <c r="AN9" s="3">
        <v>5</v>
      </c>
    </row>
    <row r="10" spans="1:42">
      <c r="A10" s="3" t="s">
        <v>169</v>
      </c>
      <c r="B10" s="3" t="s">
        <v>170</v>
      </c>
      <c r="C10" s="3">
        <v>11240</v>
      </c>
      <c r="D10" s="3" t="str">
        <f t="shared" si="0"/>
        <v>Bužim</v>
      </c>
      <c r="E10" s="3">
        <v>77245</v>
      </c>
      <c r="F10" s="3" t="s">
        <v>57</v>
      </c>
      <c r="G10" s="3">
        <v>1</v>
      </c>
      <c r="H10" s="3" t="s">
        <v>36</v>
      </c>
      <c r="I10" s="3" t="s">
        <v>171</v>
      </c>
      <c r="J10" s="3" t="s">
        <v>172</v>
      </c>
      <c r="K10" s="3" t="s">
        <v>173</v>
      </c>
      <c r="L10" s="3" t="s">
        <v>153</v>
      </c>
      <c r="M10" s="3" t="s">
        <v>174</v>
      </c>
      <c r="N10" s="3">
        <v>88407</v>
      </c>
      <c r="O10" s="3">
        <v>10529</v>
      </c>
      <c r="P10" s="3" t="s">
        <v>136</v>
      </c>
      <c r="Q10" s="3" t="s">
        <v>175</v>
      </c>
      <c r="R10" s="3" t="s">
        <v>176</v>
      </c>
      <c r="X10" s="3" t="s">
        <v>177</v>
      </c>
      <c r="Y10" s="102"/>
      <c r="AA10" s="97" t="s">
        <v>178</v>
      </c>
      <c r="AB10" s="103" t="s">
        <v>179</v>
      </c>
      <c r="AD10" s="99">
        <v>18</v>
      </c>
      <c r="AE10" s="99" t="s">
        <v>180</v>
      </c>
      <c r="AF10" s="104">
        <f t="shared" si="1"/>
        <v>6.9999999999999999E-4</v>
      </c>
      <c r="AG10" s="3" t="s">
        <v>181</v>
      </c>
      <c r="AH10" s="104">
        <v>6.9999999999999999E-4</v>
      </c>
      <c r="AI10" s="2" t="s">
        <v>182</v>
      </c>
      <c r="AJ10" s="3">
        <v>97</v>
      </c>
      <c r="AK10" s="3" t="s">
        <v>169</v>
      </c>
      <c r="AL10" s="101">
        <v>87</v>
      </c>
      <c r="AM10" s="3" t="s">
        <v>181</v>
      </c>
      <c r="AN10" s="3">
        <v>8</v>
      </c>
    </row>
    <row r="11" spans="1:42">
      <c r="A11" s="3" t="s">
        <v>91</v>
      </c>
      <c r="B11" s="3" t="s">
        <v>183</v>
      </c>
      <c r="C11" s="3">
        <v>10227</v>
      </c>
      <c r="D11" s="3" t="str">
        <f t="shared" si="0"/>
        <v>Cazin</v>
      </c>
      <c r="E11" s="3">
        <v>77220</v>
      </c>
      <c r="F11" s="3" t="s">
        <v>57</v>
      </c>
      <c r="G11" s="3">
        <v>1</v>
      </c>
      <c r="H11" s="3" t="s">
        <v>36</v>
      </c>
      <c r="I11" s="3" t="s">
        <v>184</v>
      </c>
      <c r="J11" s="3" t="s">
        <v>185</v>
      </c>
      <c r="K11" s="3" t="s">
        <v>186</v>
      </c>
      <c r="L11" s="3" t="s">
        <v>187</v>
      </c>
      <c r="M11" s="3" t="s">
        <v>188</v>
      </c>
      <c r="N11" s="3">
        <v>88201</v>
      </c>
      <c r="O11" s="3">
        <v>11410</v>
      </c>
      <c r="P11" s="3" t="s">
        <v>136</v>
      </c>
      <c r="Q11" s="3" t="s">
        <v>189</v>
      </c>
      <c r="R11" s="3" t="s">
        <v>190</v>
      </c>
      <c r="X11" s="3" t="s">
        <v>191</v>
      </c>
      <c r="Y11" s="102"/>
      <c r="AA11" s="97" t="s">
        <v>192</v>
      </c>
      <c r="AB11" s="103" t="s">
        <v>193</v>
      </c>
      <c r="AD11" s="99">
        <v>19</v>
      </c>
      <c r="AE11" s="99" t="s">
        <v>194</v>
      </c>
      <c r="AF11" s="104">
        <f t="shared" si="1"/>
        <v>6.9999999999999999E-4</v>
      </c>
      <c r="AG11" s="3" t="s">
        <v>195</v>
      </c>
      <c r="AH11" s="104">
        <v>6.9999999999999999E-4</v>
      </c>
      <c r="AI11" s="2" t="s">
        <v>196</v>
      </c>
      <c r="AJ11" s="3">
        <v>142</v>
      </c>
      <c r="AK11" s="3" t="s">
        <v>91</v>
      </c>
      <c r="AL11" s="101">
        <v>83</v>
      </c>
      <c r="AM11" s="3" t="s">
        <v>195</v>
      </c>
      <c r="AN11" s="3">
        <v>9</v>
      </c>
    </row>
    <row r="12" spans="1:42">
      <c r="A12" s="3" t="s">
        <v>197</v>
      </c>
      <c r="B12" s="3" t="s">
        <v>198</v>
      </c>
      <c r="C12" s="3">
        <v>10243</v>
      </c>
      <c r="D12" s="3" t="str">
        <f t="shared" si="0"/>
        <v>Čapljina</v>
      </c>
      <c r="E12" s="3">
        <v>88300</v>
      </c>
      <c r="F12" s="3" t="s">
        <v>136</v>
      </c>
      <c r="G12" s="3">
        <v>7</v>
      </c>
      <c r="H12" s="3" t="s">
        <v>36</v>
      </c>
      <c r="I12" s="3" t="s">
        <v>199</v>
      </c>
      <c r="J12" s="3" t="s">
        <v>200</v>
      </c>
      <c r="K12" s="3" t="s">
        <v>201</v>
      </c>
      <c r="L12" s="3" t="s">
        <v>144</v>
      </c>
      <c r="M12" s="3" t="s">
        <v>202</v>
      </c>
      <c r="N12" s="3">
        <v>88263</v>
      </c>
      <c r="O12" s="3">
        <v>10260</v>
      </c>
      <c r="P12" s="3" t="s">
        <v>136</v>
      </c>
      <c r="Q12" s="3" t="s">
        <v>203</v>
      </c>
      <c r="R12" s="3" t="s">
        <v>204</v>
      </c>
      <c r="X12" s="3" t="s">
        <v>205</v>
      </c>
      <c r="Y12" s="102"/>
      <c r="Z12" s="102"/>
      <c r="AA12" s="97" t="s">
        <v>206</v>
      </c>
      <c r="AB12" s="103" t="s">
        <v>207</v>
      </c>
      <c r="AD12" s="99">
        <v>20</v>
      </c>
      <c r="AE12" s="99" t="s">
        <v>208</v>
      </c>
      <c r="AF12" s="104" t="str">
        <f t="shared" si="1"/>
        <v>-</v>
      </c>
      <c r="AI12" s="2" t="s">
        <v>187</v>
      </c>
      <c r="AJ12" s="3">
        <v>133</v>
      </c>
      <c r="AK12" s="3" t="s">
        <v>197</v>
      </c>
      <c r="AL12" s="101">
        <v>131</v>
      </c>
    </row>
    <row r="13" spans="1:42">
      <c r="A13" s="3" t="s">
        <v>209</v>
      </c>
      <c r="B13" s="3" t="s">
        <v>210</v>
      </c>
      <c r="C13" s="3">
        <v>11231</v>
      </c>
      <c r="D13" s="3" t="str">
        <f t="shared" si="0"/>
        <v>Čelić</v>
      </c>
      <c r="E13" s="3">
        <v>75246</v>
      </c>
      <c r="F13" s="3" t="s">
        <v>35</v>
      </c>
      <c r="G13" s="3">
        <v>3</v>
      </c>
      <c r="H13" s="3" t="s">
        <v>36</v>
      </c>
      <c r="I13" s="3" t="s">
        <v>211</v>
      </c>
      <c r="J13" s="3" t="s">
        <v>212</v>
      </c>
      <c r="K13" s="3" t="s">
        <v>213</v>
      </c>
      <c r="L13" s="3" t="s">
        <v>214</v>
      </c>
      <c r="M13" s="3" t="s">
        <v>215</v>
      </c>
      <c r="N13" s="3">
        <v>71215</v>
      </c>
      <c r="O13" s="3">
        <v>11550</v>
      </c>
      <c r="P13" s="3" t="s">
        <v>195</v>
      </c>
      <c r="Q13" s="3" t="s">
        <v>216</v>
      </c>
      <c r="R13" s="3" t="s">
        <v>217</v>
      </c>
      <c r="X13" s="3" t="s">
        <v>218</v>
      </c>
      <c r="Y13" s="102"/>
      <c r="Z13" s="102"/>
      <c r="AA13" s="97" t="s">
        <v>219</v>
      </c>
      <c r="AB13" s="103" t="s">
        <v>220</v>
      </c>
      <c r="AD13" s="99">
        <v>21</v>
      </c>
      <c r="AE13" s="99" t="s">
        <v>221</v>
      </c>
      <c r="AF13" s="104">
        <f t="shared" si="1"/>
        <v>5.0000000000000001E-4</v>
      </c>
      <c r="AI13" s="2" t="s">
        <v>222</v>
      </c>
      <c r="AJ13" s="3">
        <v>88</v>
      </c>
      <c r="AK13" s="3" t="s">
        <v>209</v>
      </c>
      <c r="AL13" s="101">
        <v>96</v>
      </c>
    </row>
    <row r="14" spans="1:42">
      <c r="A14" s="3" t="s">
        <v>144</v>
      </c>
      <c r="B14" s="3" t="s">
        <v>223</v>
      </c>
      <c r="C14" s="3">
        <v>10260</v>
      </c>
      <c r="D14" s="3" t="str">
        <f t="shared" si="0"/>
        <v>Čitluk</v>
      </c>
      <c r="E14" s="3">
        <v>88260</v>
      </c>
      <c r="F14" s="3" t="s">
        <v>136</v>
      </c>
      <c r="G14" s="3">
        <v>7</v>
      </c>
      <c r="H14" s="3" t="s">
        <v>36</v>
      </c>
      <c r="I14" s="3" t="s">
        <v>224</v>
      </c>
      <c r="J14" s="3" t="s">
        <v>225</v>
      </c>
      <c r="K14" s="3" t="s">
        <v>226</v>
      </c>
      <c r="L14" s="3" t="s">
        <v>222</v>
      </c>
      <c r="M14" s="3" t="s">
        <v>227</v>
      </c>
      <c r="N14" s="3">
        <v>76277</v>
      </c>
      <c r="O14" s="3">
        <v>11533</v>
      </c>
      <c r="P14" s="3" t="s">
        <v>152</v>
      </c>
      <c r="Q14" s="3" t="s">
        <v>228</v>
      </c>
      <c r="R14" s="3" t="s">
        <v>229</v>
      </c>
      <c r="X14" s="105" t="s">
        <v>230</v>
      </c>
      <c r="Y14" s="102"/>
      <c r="AA14" s="97" t="s">
        <v>231</v>
      </c>
      <c r="AB14" s="103" t="s">
        <v>232</v>
      </c>
      <c r="AD14" s="99">
        <v>22</v>
      </c>
      <c r="AE14" s="99" t="s">
        <v>233</v>
      </c>
      <c r="AF14" s="104" t="str">
        <f t="shared" si="1"/>
        <v>-</v>
      </c>
      <c r="AI14" s="2" t="s">
        <v>234</v>
      </c>
      <c r="AJ14" s="3">
        <v>159</v>
      </c>
      <c r="AK14" s="3" t="s">
        <v>144</v>
      </c>
      <c r="AL14" s="101">
        <v>132</v>
      </c>
    </row>
    <row r="15" spans="1:42">
      <c r="A15" s="3" t="s">
        <v>235</v>
      </c>
      <c r="B15" s="3" t="s">
        <v>236</v>
      </c>
      <c r="C15" s="3">
        <v>11258</v>
      </c>
      <c r="D15" s="3" t="str">
        <f t="shared" si="0"/>
        <v>Doboj-Istok</v>
      </c>
      <c r="E15" s="3">
        <v>74206</v>
      </c>
      <c r="F15" s="3" t="s">
        <v>35</v>
      </c>
      <c r="G15" s="3">
        <v>3</v>
      </c>
      <c r="H15" s="3" t="s">
        <v>36</v>
      </c>
      <c r="I15" s="3" t="s">
        <v>237</v>
      </c>
      <c r="J15" s="3" t="s">
        <v>238</v>
      </c>
      <c r="K15" s="3" t="s">
        <v>239</v>
      </c>
      <c r="L15" s="3" t="s">
        <v>153</v>
      </c>
      <c r="M15" s="3" t="s">
        <v>240</v>
      </c>
      <c r="N15" s="3">
        <v>88405</v>
      </c>
      <c r="O15" s="3">
        <v>10529</v>
      </c>
      <c r="P15" s="3" t="s">
        <v>136</v>
      </c>
      <c r="Q15" s="3" t="s">
        <v>241</v>
      </c>
      <c r="R15" s="3" t="s">
        <v>242</v>
      </c>
      <c r="X15" s="105" t="s">
        <v>243</v>
      </c>
      <c r="Y15" s="102"/>
      <c r="AA15" s="97" t="s">
        <v>244</v>
      </c>
      <c r="AB15" s="103" t="s">
        <v>245</v>
      </c>
      <c r="AD15" s="99">
        <v>23</v>
      </c>
      <c r="AE15" s="99" t="s">
        <v>246</v>
      </c>
      <c r="AF15" s="104">
        <f t="shared" si="1"/>
        <v>5.0000000000000001E-4</v>
      </c>
      <c r="AI15" s="2" t="s">
        <v>247</v>
      </c>
      <c r="AJ15" s="3">
        <v>98</v>
      </c>
      <c r="AK15" s="3" t="s">
        <v>235</v>
      </c>
      <c r="AL15" s="101">
        <v>101</v>
      </c>
    </row>
    <row r="16" spans="1:42">
      <c r="A16" s="3" t="s">
        <v>248</v>
      </c>
      <c r="B16" s="3" t="s">
        <v>130</v>
      </c>
      <c r="C16" s="3">
        <v>11266</v>
      </c>
      <c r="D16" s="3" t="str">
        <f t="shared" si="0"/>
        <v>Doboj-Jug</v>
      </c>
      <c r="E16" s="3">
        <v>74203</v>
      </c>
      <c r="F16" s="3" t="s">
        <v>81</v>
      </c>
      <c r="G16" s="3">
        <v>4</v>
      </c>
      <c r="H16" s="3" t="s">
        <v>36</v>
      </c>
      <c r="I16" s="3" t="s">
        <v>249</v>
      </c>
      <c r="J16" s="3" t="s">
        <v>250</v>
      </c>
      <c r="K16" s="3" t="s">
        <v>251</v>
      </c>
      <c r="L16" s="3" t="s">
        <v>252</v>
      </c>
      <c r="M16" s="3" t="s">
        <v>253</v>
      </c>
      <c r="N16" s="3">
        <v>88365</v>
      </c>
      <c r="O16" s="3">
        <v>11606</v>
      </c>
      <c r="P16" s="3" t="s">
        <v>136</v>
      </c>
      <c r="Q16" s="3" t="s">
        <v>254</v>
      </c>
      <c r="R16" s="3" t="s">
        <v>255</v>
      </c>
      <c r="X16" s="105" t="s">
        <v>256</v>
      </c>
      <c r="Y16" s="102"/>
      <c r="AA16" s="97" t="s">
        <v>257</v>
      </c>
      <c r="AB16" s="103" t="s">
        <v>258</v>
      </c>
      <c r="AD16" s="99">
        <v>24</v>
      </c>
      <c r="AE16" s="99" t="s">
        <v>259</v>
      </c>
      <c r="AF16" s="104">
        <f t="shared" si="1"/>
        <v>6.9999999999999999E-4</v>
      </c>
      <c r="AI16" s="2" t="s">
        <v>252</v>
      </c>
      <c r="AJ16" s="3">
        <v>139</v>
      </c>
      <c r="AK16" s="3" t="s">
        <v>248</v>
      </c>
      <c r="AL16" s="101">
        <v>114</v>
      </c>
    </row>
    <row r="17" spans="1:38">
      <c r="A17" s="3" t="s">
        <v>260</v>
      </c>
      <c r="B17" s="3" t="s">
        <v>261</v>
      </c>
      <c r="C17" s="3">
        <v>11274</v>
      </c>
      <c r="D17" s="3" t="str">
        <f t="shared" si="0"/>
        <v>Dobretići</v>
      </c>
      <c r="E17" s="3">
        <v>70210</v>
      </c>
      <c r="F17" s="3" t="s">
        <v>42</v>
      </c>
      <c r="G17" s="3">
        <v>6</v>
      </c>
      <c r="H17" s="3" t="s">
        <v>36</v>
      </c>
      <c r="I17" s="3" t="s">
        <v>262</v>
      </c>
      <c r="J17" s="3" t="s">
        <v>263</v>
      </c>
      <c r="K17" s="3" t="s">
        <v>264</v>
      </c>
      <c r="L17" s="3" t="s">
        <v>73</v>
      </c>
      <c r="M17" s="3" t="s">
        <v>73</v>
      </c>
      <c r="N17" s="3">
        <v>77240</v>
      </c>
      <c r="O17" s="3">
        <v>11428</v>
      </c>
      <c r="P17" s="3" t="s">
        <v>57</v>
      </c>
      <c r="Q17" s="3" t="s">
        <v>265</v>
      </c>
      <c r="R17" s="3" t="s">
        <v>266</v>
      </c>
      <c r="X17" s="105" t="s">
        <v>267</v>
      </c>
      <c r="Y17" s="102"/>
      <c r="Z17" s="102"/>
      <c r="AA17" s="97" t="s">
        <v>268</v>
      </c>
      <c r="AB17" s="103" t="s">
        <v>269</v>
      </c>
      <c r="AD17" s="99">
        <v>25</v>
      </c>
      <c r="AE17" s="99" t="s">
        <v>270</v>
      </c>
      <c r="AF17" s="104">
        <f t="shared" si="1"/>
        <v>4.0000000000000002E-4</v>
      </c>
      <c r="AI17" s="2" t="s">
        <v>271</v>
      </c>
      <c r="AJ17" s="3">
        <v>140</v>
      </c>
      <c r="AK17" s="3" t="s">
        <v>260</v>
      </c>
      <c r="AL17" s="101">
        <v>112</v>
      </c>
    </row>
    <row r="18" spans="1:38">
      <c r="A18" s="3" t="s">
        <v>272</v>
      </c>
      <c r="B18" s="3" t="s">
        <v>273</v>
      </c>
      <c r="C18" s="3">
        <v>11282</v>
      </c>
      <c r="D18" s="3" t="str">
        <f t="shared" si="0"/>
        <v>Domaljevac-Šamac</v>
      </c>
      <c r="E18" s="3">
        <v>76233</v>
      </c>
      <c r="F18" s="3" t="s">
        <v>152</v>
      </c>
      <c r="G18" s="3">
        <v>2</v>
      </c>
      <c r="H18" s="3" t="s">
        <v>36</v>
      </c>
      <c r="I18" s="3" t="s">
        <v>274</v>
      </c>
      <c r="J18" s="3" t="s">
        <v>275</v>
      </c>
      <c r="K18" s="3" t="s">
        <v>276</v>
      </c>
      <c r="L18" s="3" t="s">
        <v>93</v>
      </c>
      <c r="M18" s="3" t="s">
        <v>93</v>
      </c>
      <c r="N18" s="3">
        <v>77250</v>
      </c>
      <c r="O18" s="3">
        <v>11436</v>
      </c>
      <c r="P18" s="3" t="s">
        <v>57</v>
      </c>
      <c r="Q18" s="3" t="s">
        <v>277</v>
      </c>
      <c r="R18" s="3" t="s">
        <v>278</v>
      </c>
      <c r="X18" s="105" t="s">
        <v>279</v>
      </c>
      <c r="Y18" s="102"/>
      <c r="Z18" s="102"/>
      <c r="AA18" s="97" t="s">
        <v>280</v>
      </c>
      <c r="AB18" s="103" t="s">
        <v>281</v>
      </c>
      <c r="AD18" s="99">
        <v>26</v>
      </c>
      <c r="AE18" s="99" t="s">
        <v>282</v>
      </c>
      <c r="AF18" s="104">
        <f t="shared" si="1"/>
        <v>1.4999999999999999E-4</v>
      </c>
      <c r="AI18" s="2" t="s">
        <v>283</v>
      </c>
      <c r="AJ18" s="3">
        <v>99</v>
      </c>
      <c r="AK18" s="3" t="s">
        <v>272</v>
      </c>
      <c r="AL18" s="101">
        <v>90</v>
      </c>
    </row>
    <row r="19" spans="1:38">
      <c r="A19" s="3" t="s">
        <v>284</v>
      </c>
      <c r="B19" s="3" t="s">
        <v>285</v>
      </c>
      <c r="C19" s="3">
        <v>10294</v>
      </c>
      <c r="D19" s="3" t="str">
        <f t="shared" si="0"/>
        <v>Donji Vakuf</v>
      </c>
      <c r="E19" s="3">
        <v>70220</v>
      </c>
      <c r="F19" s="3" t="s">
        <v>42</v>
      </c>
      <c r="G19" s="3">
        <v>6</v>
      </c>
      <c r="H19" s="3" t="s">
        <v>36</v>
      </c>
      <c r="I19" s="3" t="s">
        <v>286</v>
      </c>
      <c r="J19" s="3" t="s">
        <v>287</v>
      </c>
      <c r="K19" s="3" t="s">
        <v>288</v>
      </c>
      <c r="L19" s="3" t="s">
        <v>108</v>
      </c>
      <c r="M19" s="3" t="s">
        <v>108</v>
      </c>
      <c r="N19" s="3">
        <v>80270</v>
      </c>
      <c r="O19" s="3">
        <v>10146</v>
      </c>
      <c r="P19" s="3" t="s">
        <v>90</v>
      </c>
      <c r="Q19" s="106" t="s">
        <v>289</v>
      </c>
      <c r="R19" s="3" t="s">
        <v>290</v>
      </c>
      <c r="X19" s="105" t="s">
        <v>291</v>
      </c>
      <c r="Y19" s="102"/>
      <c r="Z19" s="102"/>
      <c r="AA19" s="97" t="s">
        <v>292</v>
      </c>
      <c r="AB19" s="103" t="s">
        <v>293</v>
      </c>
      <c r="AD19" s="99">
        <v>27</v>
      </c>
      <c r="AE19" s="99" t="s">
        <v>294</v>
      </c>
      <c r="AF19" s="104">
        <f t="shared" si="1"/>
        <v>4.0000000000000002E-4</v>
      </c>
      <c r="AI19" s="2" t="s">
        <v>295</v>
      </c>
      <c r="AJ19" s="3">
        <v>110</v>
      </c>
      <c r="AK19" s="3" t="s">
        <v>284</v>
      </c>
      <c r="AL19" s="101">
        <v>121</v>
      </c>
    </row>
    <row r="20" spans="1:38">
      <c r="A20" s="3" t="s">
        <v>296</v>
      </c>
      <c r="B20" s="3" t="s">
        <v>297</v>
      </c>
      <c r="C20" s="3">
        <v>11614</v>
      </c>
      <c r="D20" s="3" t="str">
        <f t="shared" si="0"/>
        <v>Drvar</v>
      </c>
      <c r="E20" s="3">
        <v>80260</v>
      </c>
      <c r="F20" s="3" t="s">
        <v>90</v>
      </c>
      <c r="G20" s="3">
        <v>10</v>
      </c>
      <c r="H20" s="3" t="s">
        <v>36</v>
      </c>
      <c r="I20" s="3" t="s">
        <v>298</v>
      </c>
      <c r="J20" s="3" t="s">
        <v>299</v>
      </c>
      <c r="K20" s="3" t="s">
        <v>300</v>
      </c>
      <c r="L20" s="3" t="s">
        <v>54</v>
      </c>
      <c r="M20" s="3" t="s">
        <v>301</v>
      </c>
      <c r="N20" s="3">
        <v>77205</v>
      </c>
      <c r="O20" s="3">
        <v>10049</v>
      </c>
      <c r="P20" s="3" t="s">
        <v>57</v>
      </c>
      <c r="X20" s="107" t="s">
        <v>302</v>
      </c>
      <c r="Y20" s="102"/>
      <c r="Z20" s="102"/>
      <c r="AA20" s="97" t="s">
        <v>303</v>
      </c>
      <c r="AB20" s="103" t="s">
        <v>304</v>
      </c>
      <c r="AD20" s="99">
        <v>28</v>
      </c>
      <c r="AE20" s="99" t="s">
        <v>305</v>
      </c>
      <c r="AF20" s="104">
        <f t="shared" si="1"/>
        <v>6.9999999999999999E-4</v>
      </c>
      <c r="AI20" s="2" t="s">
        <v>306</v>
      </c>
      <c r="AJ20" s="3">
        <v>111</v>
      </c>
      <c r="AK20" s="3" t="s">
        <v>296</v>
      </c>
      <c r="AL20" s="101">
        <v>158</v>
      </c>
    </row>
    <row r="21" spans="1:38">
      <c r="A21" s="3" t="s">
        <v>307</v>
      </c>
      <c r="B21" s="3" t="s">
        <v>61</v>
      </c>
      <c r="C21" s="3">
        <v>11444</v>
      </c>
      <c r="D21" s="3" t="str">
        <f t="shared" si="0"/>
        <v>Foča</v>
      </c>
      <c r="E21" s="3">
        <v>73250</v>
      </c>
      <c r="F21" s="3" t="s">
        <v>167</v>
      </c>
      <c r="G21" s="3">
        <v>5</v>
      </c>
      <c r="H21" s="3" t="s">
        <v>36</v>
      </c>
      <c r="I21" s="3" t="s">
        <v>308</v>
      </c>
      <c r="J21" s="3" t="s">
        <v>309</v>
      </c>
      <c r="K21" s="3" t="s">
        <v>310</v>
      </c>
      <c r="L21" s="3" t="s">
        <v>128</v>
      </c>
      <c r="M21" s="3" t="s">
        <v>311</v>
      </c>
      <c r="N21" s="3">
        <v>71255</v>
      </c>
      <c r="O21" s="3">
        <v>10472</v>
      </c>
      <c r="P21" s="3" t="s">
        <v>42</v>
      </c>
      <c r="Y21" s="102"/>
      <c r="Z21" s="102"/>
      <c r="AA21" s="97" t="s">
        <v>312</v>
      </c>
      <c r="AB21" s="103" t="s">
        <v>313</v>
      </c>
      <c r="AD21" s="99">
        <v>29</v>
      </c>
      <c r="AE21" s="99" t="s">
        <v>314</v>
      </c>
      <c r="AF21" s="104">
        <f t="shared" si="1"/>
        <v>5.0000000000000001E-4</v>
      </c>
      <c r="AI21" s="2" t="s">
        <v>315</v>
      </c>
      <c r="AJ21" s="3">
        <v>112</v>
      </c>
      <c r="AK21" s="3" t="s">
        <v>307</v>
      </c>
      <c r="AL21" s="101">
        <v>117</v>
      </c>
    </row>
    <row r="22" spans="1:38">
      <c r="A22" s="3" t="s">
        <v>316</v>
      </c>
      <c r="B22" s="3" t="s">
        <v>317</v>
      </c>
      <c r="C22" s="3">
        <v>10324</v>
      </c>
      <c r="D22" s="3" t="str">
        <f t="shared" si="0"/>
        <v>Fojnica</v>
      </c>
      <c r="E22" s="3">
        <v>71270</v>
      </c>
      <c r="F22" s="3" t="s">
        <v>42</v>
      </c>
      <c r="G22" s="3">
        <v>6</v>
      </c>
      <c r="H22" s="3" t="s">
        <v>36</v>
      </c>
      <c r="I22" s="3" t="s">
        <v>318</v>
      </c>
      <c r="J22" s="3" t="s">
        <v>319</v>
      </c>
      <c r="K22" s="3" t="s">
        <v>320</v>
      </c>
      <c r="L22" s="3" t="s">
        <v>123</v>
      </c>
      <c r="M22" s="3" t="s">
        <v>123</v>
      </c>
      <c r="N22" s="3">
        <v>71370</v>
      </c>
      <c r="O22" s="3">
        <v>10189</v>
      </c>
      <c r="P22" s="3" t="s">
        <v>81</v>
      </c>
      <c r="Y22" s="102"/>
      <c r="Z22" s="102"/>
      <c r="AA22" s="97" t="s">
        <v>321</v>
      </c>
      <c r="AB22" s="103" t="s">
        <v>322</v>
      </c>
      <c r="AD22" s="99">
        <v>30</v>
      </c>
      <c r="AE22" s="99" t="s">
        <v>323</v>
      </c>
      <c r="AF22" s="104">
        <f t="shared" si="1"/>
        <v>4.0000000000000002E-4</v>
      </c>
      <c r="AI22" s="2" t="s">
        <v>324</v>
      </c>
      <c r="AJ22" s="3">
        <v>100</v>
      </c>
      <c r="AK22" s="3" t="s">
        <v>316</v>
      </c>
      <c r="AL22" s="101">
        <v>123</v>
      </c>
    </row>
    <row r="23" spans="1:38">
      <c r="A23" s="3" t="s">
        <v>325</v>
      </c>
      <c r="B23" s="3" t="s">
        <v>326</v>
      </c>
      <c r="C23" s="3">
        <v>10359</v>
      </c>
      <c r="D23" s="3" t="str">
        <f t="shared" si="0"/>
        <v>Glamoč</v>
      </c>
      <c r="E23" s="3">
        <v>80230</v>
      </c>
      <c r="F23" s="3" t="s">
        <v>90</v>
      </c>
      <c r="G23" s="3">
        <v>10</v>
      </c>
      <c r="H23" s="3" t="s">
        <v>36</v>
      </c>
      <c r="I23" s="3" t="s">
        <v>327</v>
      </c>
      <c r="J23" s="3" t="s">
        <v>328</v>
      </c>
      <c r="K23" s="3" t="s">
        <v>329</v>
      </c>
      <c r="L23" s="3" t="s">
        <v>235</v>
      </c>
      <c r="M23" s="3" t="s">
        <v>330</v>
      </c>
      <c r="N23" s="3">
        <v>74206</v>
      </c>
      <c r="O23" s="3">
        <v>11258</v>
      </c>
      <c r="P23" s="3" t="s">
        <v>35</v>
      </c>
      <c r="Y23" s="102"/>
      <c r="Z23" s="102"/>
      <c r="AA23" s="97" t="s">
        <v>331</v>
      </c>
      <c r="AB23" s="103" t="s">
        <v>332</v>
      </c>
      <c r="AD23" s="99">
        <v>31</v>
      </c>
      <c r="AE23" s="99" t="s">
        <v>333</v>
      </c>
      <c r="AF23" s="104">
        <f t="shared" si="1"/>
        <v>6.9999999999999999E-4</v>
      </c>
      <c r="AI23" s="2"/>
      <c r="AK23" s="3" t="s">
        <v>325</v>
      </c>
      <c r="AL23" s="101">
        <v>156</v>
      </c>
    </row>
    <row r="24" spans="1:38">
      <c r="A24" s="3" t="s">
        <v>106</v>
      </c>
      <c r="B24" s="3" t="s">
        <v>334</v>
      </c>
      <c r="C24" s="3">
        <v>11452</v>
      </c>
      <c r="D24" s="3" t="str">
        <f t="shared" si="0"/>
        <v>Goražde</v>
      </c>
      <c r="E24" s="3">
        <v>73101</v>
      </c>
      <c r="F24" s="3" t="s">
        <v>167</v>
      </c>
      <c r="G24" s="3">
        <v>5</v>
      </c>
      <c r="H24" s="3" t="s">
        <v>36</v>
      </c>
      <c r="I24" s="3" t="s">
        <v>335</v>
      </c>
      <c r="J24" s="3" t="s">
        <v>336</v>
      </c>
      <c r="K24" s="3" t="s">
        <v>337</v>
      </c>
      <c r="L24" s="3" t="s">
        <v>159</v>
      </c>
      <c r="M24" s="3" t="s">
        <v>338</v>
      </c>
      <c r="N24" s="3">
        <v>72243</v>
      </c>
      <c r="O24" s="3">
        <v>10448</v>
      </c>
      <c r="P24" s="3" t="s">
        <v>81</v>
      </c>
      <c r="Y24" s="102"/>
      <c r="Z24" s="102"/>
      <c r="AA24" s="97" t="s">
        <v>339</v>
      </c>
      <c r="AB24" s="103" t="s">
        <v>340</v>
      </c>
      <c r="AD24" s="99">
        <v>32</v>
      </c>
      <c r="AE24" s="99" t="s">
        <v>341</v>
      </c>
      <c r="AF24" s="104">
        <f t="shared" si="1"/>
        <v>5.0000000000000001E-4</v>
      </c>
      <c r="AI24" s="2"/>
      <c r="AK24" s="3" t="s">
        <v>106</v>
      </c>
      <c r="AL24" s="101">
        <v>116</v>
      </c>
    </row>
    <row r="25" spans="1:38">
      <c r="A25" s="3" t="s">
        <v>342</v>
      </c>
      <c r="B25" s="3" t="s">
        <v>343</v>
      </c>
      <c r="C25" s="3">
        <v>10375</v>
      </c>
      <c r="D25" s="3" t="str">
        <f t="shared" si="0"/>
        <v>Gornji Vakuf-Uskoplje</v>
      </c>
      <c r="E25" s="3">
        <v>70240</v>
      </c>
      <c r="F25" s="3" t="s">
        <v>42</v>
      </c>
      <c r="G25" s="3">
        <v>6</v>
      </c>
      <c r="H25" s="3" t="s">
        <v>36</v>
      </c>
      <c r="I25" s="3" t="s">
        <v>344</v>
      </c>
      <c r="J25" s="3" t="s">
        <v>345</v>
      </c>
      <c r="K25" s="3" t="s">
        <v>346</v>
      </c>
      <c r="L25" s="3" t="s">
        <v>347</v>
      </c>
      <c r="M25" s="3" t="s">
        <v>348</v>
      </c>
      <c r="N25" s="3">
        <v>88243</v>
      </c>
      <c r="O25" s="3">
        <v>10731</v>
      </c>
      <c r="P25" s="3" t="s">
        <v>181</v>
      </c>
      <c r="Y25" s="102"/>
      <c r="Z25" s="102"/>
      <c r="AA25" s="97" t="s">
        <v>349</v>
      </c>
      <c r="AB25" s="103" t="s">
        <v>350</v>
      </c>
      <c r="AD25" s="99">
        <v>33</v>
      </c>
      <c r="AE25" s="99" t="s">
        <v>351</v>
      </c>
      <c r="AF25" s="104">
        <f t="shared" si="1"/>
        <v>4.0000000000000002E-4</v>
      </c>
      <c r="AI25" s="2"/>
      <c r="AK25" s="3" t="s">
        <v>342</v>
      </c>
      <c r="AL25" s="101">
        <v>124</v>
      </c>
    </row>
    <row r="26" spans="1:38">
      <c r="A26" s="3" t="s">
        <v>122</v>
      </c>
      <c r="B26" s="3" t="s">
        <v>352</v>
      </c>
      <c r="C26" s="3">
        <v>11479</v>
      </c>
      <c r="D26" s="3" t="str">
        <f t="shared" si="0"/>
        <v>Gračanica</v>
      </c>
      <c r="E26" s="3">
        <v>75320</v>
      </c>
      <c r="F26" s="3" t="s">
        <v>35</v>
      </c>
      <c r="G26" s="3">
        <v>3</v>
      </c>
      <c r="H26" s="3" t="s">
        <v>36</v>
      </c>
      <c r="I26" s="3" t="s">
        <v>353</v>
      </c>
      <c r="J26" s="3" t="s">
        <v>354</v>
      </c>
      <c r="K26" s="3" t="s">
        <v>355</v>
      </c>
      <c r="L26" s="3" t="s">
        <v>356</v>
      </c>
      <c r="M26" s="3" t="s">
        <v>357</v>
      </c>
      <c r="N26" s="3">
        <v>72293</v>
      </c>
      <c r="O26" s="3">
        <v>10774</v>
      </c>
      <c r="P26" s="3" t="s">
        <v>42</v>
      </c>
      <c r="Y26" s="102"/>
      <c r="Z26" s="102"/>
      <c r="AA26" s="97" t="s">
        <v>358</v>
      </c>
      <c r="AB26" s="103" t="s">
        <v>359</v>
      </c>
      <c r="AD26" s="99">
        <v>34</v>
      </c>
      <c r="AE26" s="99" t="s">
        <v>360</v>
      </c>
      <c r="AF26" s="104">
        <f t="shared" si="1"/>
        <v>5.0000000000000001E-4</v>
      </c>
      <c r="AI26" s="2"/>
      <c r="AK26" s="3" t="s">
        <v>122</v>
      </c>
      <c r="AL26" s="101">
        <v>92</v>
      </c>
    </row>
    <row r="27" spans="1:38">
      <c r="A27" s="3" t="s">
        <v>138</v>
      </c>
      <c r="B27" s="3" t="s">
        <v>361</v>
      </c>
      <c r="C27" s="3">
        <v>10391</v>
      </c>
      <c r="D27" s="3" t="str">
        <f t="shared" si="0"/>
        <v>Gradačac</v>
      </c>
      <c r="E27" s="3">
        <v>76250</v>
      </c>
      <c r="F27" s="3" t="s">
        <v>35</v>
      </c>
      <c r="G27" s="3">
        <v>3</v>
      </c>
      <c r="H27" s="3" t="s">
        <v>36</v>
      </c>
      <c r="I27" s="3" t="s">
        <v>362</v>
      </c>
      <c r="J27" s="3" t="s">
        <v>363</v>
      </c>
      <c r="K27" s="3" t="s">
        <v>364</v>
      </c>
      <c r="L27" s="3" t="s">
        <v>139</v>
      </c>
      <c r="M27" s="3" t="s">
        <v>139</v>
      </c>
      <c r="N27" s="3">
        <v>70230</v>
      </c>
      <c r="O27" s="3">
        <v>10197</v>
      </c>
      <c r="P27" s="3" t="s">
        <v>42</v>
      </c>
      <c r="Y27" s="102"/>
      <c r="Z27" s="102"/>
      <c r="AA27" s="97" t="s">
        <v>365</v>
      </c>
      <c r="AB27" s="103" t="s">
        <v>366</v>
      </c>
      <c r="AD27" s="99">
        <v>35</v>
      </c>
      <c r="AE27" s="99" t="s">
        <v>367</v>
      </c>
      <c r="AF27" s="104">
        <f t="shared" si="1"/>
        <v>5.0000000000000001E-4</v>
      </c>
      <c r="AI27" s="2"/>
      <c r="AK27" s="3" t="s">
        <v>138</v>
      </c>
      <c r="AL27" s="101">
        <v>93</v>
      </c>
    </row>
    <row r="28" spans="1:38">
      <c r="A28" s="3" t="s">
        <v>368</v>
      </c>
      <c r="B28" s="3" t="s">
        <v>369</v>
      </c>
      <c r="C28" s="3">
        <v>10405</v>
      </c>
      <c r="D28" s="3" t="str">
        <f t="shared" si="0"/>
        <v>Grude</v>
      </c>
      <c r="E28" s="3">
        <v>88340</v>
      </c>
      <c r="F28" s="3" t="s">
        <v>181</v>
      </c>
      <c r="G28" s="3">
        <v>8</v>
      </c>
      <c r="H28" s="3" t="s">
        <v>36</v>
      </c>
      <c r="I28" s="3" t="s">
        <v>370</v>
      </c>
      <c r="J28" s="3" t="s">
        <v>371</v>
      </c>
      <c r="K28" s="3" t="s">
        <v>372</v>
      </c>
      <c r="L28" s="3" t="s">
        <v>283</v>
      </c>
      <c r="M28" s="3" t="s">
        <v>373</v>
      </c>
      <c r="N28" s="3">
        <v>75203</v>
      </c>
      <c r="O28" s="3">
        <v>11088</v>
      </c>
      <c r="P28" s="3" t="s">
        <v>35</v>
      </c>
      <c r="Y28" s="102"/>
      <c r="Z28" s="102"/>
      <c r="AA28" s="97" t="s">
        <v>374</v>
      </c>
      <c r="AB28" s="103" t="s">
        <v>375</v>
      </c>
      <c r="AD28" s="99">
        <v>36</v>
      </c>
      <c r="AE28" s="99" t="s">
        <v>302</v>
      </c>
      <c r="AF28" s="104">
        <f t="shared" si="1"/>
        <v>6.9999999999999999E-4</v>
      </c>
      <c r="AK28" s="3" t="s">
        <v>368</v>
      </c>
      <c r="AL28" s="101">
        <v>141</v>
      </c>
    </row>
    <row r="29" spans="1:38">
      <c r="A29" s="3" t="s">
        <v>376</v>
      </c>
      <c r="B29" s="3" t="s">
        <v>377</v>
      </c>
      <c r="C29" s="3">
        <v>10847</v>
      </c>
      <c r="D29" s="3" t="str">
        <f t="shared" si="0"/>
        <v>Hadžići</v>
      </c>
      <c r="E29" s="3">
        <v>71240</v>
      </c>
      <c r="F29" s="3" t="s">
        <v>195</v>
      </c>
      <c r="G29" s="3">
        <v>9</v>
      </c>
      <c r="H29" s="3" t="s">
        <v>36</v>
      </c>
      <c r="I29" s="3" t="s">
        <v>378</v>
      </c>
      <c r="J29" s="3" t="s">
        <v>379</v>
      </c>
      <c r="K29" s="3" t="s">
        <v>380</v>
      </c>
      <c r="L29" s="3" t="s">
        <v>187</v>
      </c>
      <c r="M29" s="3" t="s">
        <v>381</v>
      </c>
      <c r="N29" s="3">
        <v>88202</v>
      </c>
      <c r="O29" s="3">
        <v>11410</v>
      </c>
      <c r="P29" s="3" t="s">
        <v>136</v>
      </c>
      <c r="Y29" s="102"/>
      <c r="Z29" s="102"/>
      <c r="AA29" s="97" t="s">
        <v>382</v>
      </c>
      <c r="AB29" s="103" t="s">
        <v>383</v>
      </c>
      <c r="AF29" s="104">
        <f t="shared" si="1"/>
        <v>6.9999999999999999E-4</v>
      </c>
      <c r="AK29" s="3" t="s">
        <v>376</v>
      </c>
      <c r="AL29" s="101">
        <v>144</v>
      </c>
    </row>
    <row r="30" spans="1:38">
      <c r="A30" s="3" t="s">
        <v>214</v>
      </c>
      <c r="B30" s="3" t="s">
        <v>384</v>
      </c>
      <c r="C30" s="3">
        <v>11550</v>
      </c>
      <c r="D30" s="3" t="str">
        <f t="shared" si="0"/>
        <v>Ilidža</v>
      </c>
      <c r="E30" s="3">
        <v>71210</v>
      </c>
      <c r="F30" s="3" t="s">
        <v>195</v>
      </c>
      <c r="G30" s="3">
        <v>9</v>
      </c>
      <c r="H30" s="3" t="s">
        <v>36</v>
      </c>
      <c r="I30" s="3" t="s">
        <v>385</v>
      </c>
      <c r="J30" s="3" t="s">
        <v>386</v>
      </c>
      <c r="K30" s="3" t="s">
        <v>387</v>
      </c>
      <c r="L30" s="3" t="s">
        <v>252</v>
      </c>
      <c r="M30" s="3" t="s">
        <v>388</v>
      </c>
      <c r="N30" s="3">
        <v>88366</v>
      </c>
      <c r="O30" s="3">
        <v>11606</v>
      </c>
      <c r="P30" s="3" t="s">
        <v>136</v>
      </c>
      <c r="Y30" s="102"/>
      <c r="Z30" s="102"/>
      <c r="AA30" s="97" t="s">
        <v>389</v>
      </c>
      <c r="AB30" s="103" t="s">
        <v>390</v>
      </c>
      <c r="AF30" s="104">
        <f t="shared" si="1"/>
        <v>6.9999999999999999E-4</v>
      </c>
      <c r="AK30" s="3" t="s">
        <v>214</v>
      </c>
      <c r="AL30" s="101">
        <v>147</v>
      </c>
    </row>
    <row r="31" spans="1:38">
      <c r="A31" s="3" t="s">
        <v>391</v>
      </c>
      <c r="B31" s="3" t="s">
        <v>392</v>
      </c>
      <c r="C31" s="3">
        <v>10863</v>
      </c>
      <c r="D31" s="3" t="str">
        <f t="shared" si="0"/>
        <v>Ilijaš</v>
      </c>
      <c r="E31" s="3">
        <v>71380</v>
      </c>
      <c r="F31" s="3" t="s">
        <v>195</v>
      </c>
      <c r="G31" s="3">
        <v>9</v>
      </c>
      <c r="H31" s="3" t="s">
        <v>36</v>
      </c>
      <c r="I31" s="3" t="s">
        <v>393</v>
      </c>
      <c r="J31" s="3" t="s">
        <v>394</v>
      </c>
      <c r="K31" s="3" t="s">
        <v>395</v>
      </c>
      <c r="L31" s="3" t="s">
        <v>154</v>
      </c>
      <c r="M31" s="3" t="s">
        <v>154</v>
      </c>
      <c r="N31" s="3">
        <v>72260</v>
      </c>
      <c r="O31" s="3">
        <v>10219</v>
      </c>
      <c r="P31" s="3" t="s">
        <v>42</v>
      </c>
      <c r="Y31" s="102"/>
      <c r="Z31" s="102"/>
      <c r="AA31" s="97" t="s">
        <v>396</v>
      </c>
      <c r="AB31" s="103" t="s">
        <v>397</v>
      </c>
      <c r="AF31" s="104">
        <f t="shared" si="1"/>
        <v>6.9999999999999999E-4</v>
      </c>
      <c r="AK31" s="3" t="s">
        <v>391</v>
      </c>
      <c r="AL31" s="101">
        <v>145</v>
      </c>
    </row>
    <row r="32" spans="1:38">
      <c r="A32" s="3" t="s">
        <v>398</v>
      </c>
      <c r="B32" s="3" t="s">
        <v>399</v>
      </c>
      <c r="C32" s="3">
        <v>10421</v>
      </c>
      <c r="D32" s="3" t="str">
        <f t="shared" si="0"/>
        <v>Jablanica</v>
      </c>
      <c r="E32" s="3">
        <v>88420</v>
      </c>
      <c r="F32" s="3" t="s">
        <v>136</v>
      </c>
      <c r="G32" s="3">
        <v>7</v>
      </c>
      <c r="H32" s="3" t="s">
        <v>36</v>
      </c>
      <c r="I32" s="3" t="s">
        <v>400</v>
      </c>
      <c r="J32" s="3" t="s">
        <v>401</v>
      </c>
      <c r="K32" s="3" t="s">
        <v>402</v>
      </c>
      <c r="L32" s="3" t="s">
        <v>153</v>
      </c>
      <c r="M32" s="3" t="s">
        <v>403</v>
      </c>
      <c r="N32" s="3">
        <v>88409</v>
      </c>
      <c r="O32" s="3">
        <v>10529</v>
      </c>
      <c r="P32" s="3" t="s">
        <v>136</v>
      </c>
      <c r="Y32" s="102"/>
      <c r="AA32" s="97" t="s">
        <v>404</v>
      </c>
      <c r="AB32" s="103" t="s">
        <v>405</v>
      </c>
      <c r="AF32" s="104" t="str">
        <f t="shared" si="1"/>
        <v>-</v>
      </c>
      <c r="AK32" s="3" t="s">
        <v>398</v>
      </c>
      <c r="AL32" s="101">
        <v>134</v>
      </c>
    </row>
    <row r="33" spans="1:38">
      <c r="A33" s="3" t="s">
        <v>406</v>
      </c>
      <c r="B33" s="3" t="s">
        <v>407</v>
      </c>
      <c r="C33" s="3">
        <v>11487</v>
      </c>
      <c r="D33" s="3" t="str">
        <f t="shared" si="0"/>
        <v>Jajce</v>
      </c>
      <c r="E33" s="3">
        <v>70101</v>
      </c>
      <c r="F33" s="3" t="s">
        <v>42</v>
      </c>
      <c r="G33" s="3">
        <v>6</v>
      </c>
      <c r="H33" s="3" t="s">
        <v>36</v>
      </c>
      <c r="I33" s="3" t="s">
        <v>408</v>
      </c>
      <c r="J33" s="3" t="s">
        <v>409</v>
      </c>
      <c r="K33" s="3" t="s">
        <v>410</v>
      </c>
      <c r="L33" s="3" t="s">
        <v>169</v>
      </c>
      <c r="M33" s="3" t="s">
        <v>169</v>
      </c>
      <c r="N33" s="3">
        <v>77245</v>
      </c>
      <c r="O33" s="3">
        <v>11240</v>
      </c>
      <c r="P33" s="3" t="s">
        <v>57</v>
      </c>
      <c r="Y33" s="102"/>
      <c r="AA33" s="97" t="s">
        <v>411</v>
      </c>
      <c r="AB33" s="103" t="s">
        <v>412</v>
      </c>
      <c r="AF33" s="104">
        <f t="shared" si="1"/>
        <v>4.0000000000000002E-4</v>
      </c>
      <c r="AK33" s="3" t="s">
        <v>406</v>
      </c>
      <c r="AL33" s="101">
        <v>125</v>
      </c>
    </row>
    <row r="34" spans="1:38">
      <c r="A34" s="3" t="s">
        <v>159</v>
      </c>
      <c r="B34" s="3" t="s">
        <v>413</v>
      </c>
      <c r="C34" s="3">
        <v>10448</v>
      </c>
      <c r="D34" s="3" t="str">
        <f t="shared" si="0"/>
        <v>Kakanj</v>
      </c>
      <c r="E34" s="3">
        <v>72240</v>
      </c>
      <c r="F34" s="3" t="s">
        <v>81</v>
      </c>
      <c r="G34" s="3">
        <v>4</v>
      </c>
      <c r="H34" s="3" t="s">
        <v>36</v>
      </c>
      <c r="I34" s="3" t="s">
        <v>414</v>
      </c>
      <c r="J34" s="3" t="s">
        <v>415</v>
      </c>
      <c r="K34" s="3" t="s">
        <v>416</v>
      </c>
      <c r="L34" s="3" t="s">
        <v>417</v>
      </c>
      <c r="M34" s="3" t="s">
        <v>418</v>
      </c>
      <c r="N34" s="3">
        <v>71347</v>
      </c>
      <c r="O34" s="3">
        <v>10715</v>
      </c>
      <c r="P34" s="3" t="s">
        <v>81</v>
      </c>
      <c r="AA34" s="97" t="s">
        <v>419</v>
      </c>
      <c r="AB34" s="103" t="s">
        <v>420</v>
      </c>
      <c r="AF34" s="104">
        <f t="shared" si="1"/>
        <v>6.9999999999999999E-4</v>
      </c>
      <c r="AK34" s="3" t="s">
        <v>159</v>
      </c>
      <c r="AL34" s="101">
        <v>105</v>
      </c>
    </row>
    <row r="35" spans="1:38">
      <c r="A35" s="3" t="s">
        <v>421</v>
      </c>
      <c r="B35" s="3" t="s">
        <v>422</v>
      </c>
      <c r="C35" s="3">
        <v>11495</v>
      </c>
      <c r="D35" s="3" t="str">
        <f t="shared" si="0"/>
        <v>Kalesija</v>
      </c>
      <c r="E35" s="3">
        <v>75260</v>
      </c>
      <c r="F35" s="3" t="s">
        <v>35</v>
      </c>
      <c r="G35" s="3">
        <v>3</v>
      </c>
      <c r="H35" s="3" t="s">
        <v>36</v>
      </c>
      <c r="I35" s="3" t="s">
        <v>423</v>
      </c>
      <c r="J35" s="3" t="s">
        <v>424</v>
      </c>
      <c r="K35" s="3" t="s">
        <v>425</v>
      </c>
      <c r="L35" s="3" t="s">
        <v>91</v>
      </c>
      <c r="M35" s="3" t="s">
        <v>91</v>
      </c>
      <c r="N35" s="3">
        <v>77220</v>
      </c>
      <c r="O35" s="3">
        <v>10227</v>
      </c>
      <c r="P35" s="3" t="s">
        <v>57</v>
      </c>
      <c r="Z35" s="102"/>
      <c r="AA35" s="97" t="s">
        <v>426</v>
      </c>
      <c r="AB35" s="103" t="s">
        <v>427</v>
      </c>
      <c r="AF35" s="104">
        <f t="shared" si="1"/>
        <v>5.0000000000000001E-4</v>
      </c>
      <c r="AK35" s="3" t="s">
        <v>421</v>
      </c>
      <c r="AL35" s="101">
        <v>94</v>
      </c>
    </row>
    <row r="36" spans="1:38">
      <c r="A36" s="3" t="s">
        <v>128</v>
      </c>
      <c r="B36" s="3" t="s">
        <v>428</v>
      </c>
      <c r="C36" s="3">
        <v>10472</v>
      </c>
      <c r="D36" s="3" t="str">
        <f t="shared" si="0"/>
        <v>Kiseljak</v>
      </c>
      <c r="E36" s="3">
        <v>71250</v>
      </c>
      <c r="F36" s="3" t="s">
        <v>42</v>
      </c>
      <c r="G36" s="3">
        <v>6</v>
      </c>
      <c r="H36" s="3" t="s">
        <v>36</v>
      </c>
      <c r="I36" s="3" t="s">
        <v>429</v>
      </c>
      <c r="J36" s="3" t="s">
        <v>430</v>
      </c>
      <c r="K36" s="3" t="s">
        <v>431</v>
      </c>
      <c r="L36" s="3" t="s">
        <v>252</v>
      </c>
      <c r="M36" s="3" t="s">
        <v>432</v>
      </c>
      <c r="N36" s="3">
        <v>88367</v>
      </c>
      <c r="O36" s="3">
        <v>11606</v>
      </c>
      <c r="P36" s="3" t="s">
        <v>136</v>
      </c>
      <c r="Z36" s="102"/>
      <c r="AA36" s="97" t="s">
        <v>433</v>
      </c>
      <c r="AB36" s="103" t="s">
        <v>434</v>
      </c>
      <c r="AF36" s="104">
        <f t="shared" si="1"/>
        <v>4.0000000000000002E-4</v>
      </c>
      <c r="AK36" s="3" t="s">
        <v>128</v>
      </c>
      <c r="AL36" s="101">
        <v>126</v>
      </c>
    </row>
    <row r="37" spans="1:38">
      <c r="A37" s="3" t="s">
        <v>435</v>
      </c>
      <c r="B37" s="3" t="s">
        <v>436</v>
      </c>
      <c r="C37" s="3">
        <v>10499</v>
      </c>
      <c r="D37" s="3" t="str">
        <f t="shared" si="0"/>
        <v>Kladanj</v>
      </c>
      <c r="E37" s="3">
        <v>75280</v>
      </c>
      <c r="F37" s="3" t="s">
        <v>35</v>
      </c>
      <c r="G37" s="3">
        <v>3</v>
      </c>
      <c r="H37" s="3" t="s">
        <v>36</v>
      </c>
      <c r="I37" s="3" t="s">
        <v>437</v>
      </c>
      <c r="J37" s="3" t="s">
        <v>438</v>
      </c>
      <c r="K37" s="3" t="s">
        <v>439</v>
      </c>
      <c r="L37" s="3" t="s">
        <v>197</v>
      </c>
      <c r="M37" s="3" t="s">
        <v>197</v>
      </c>
      <c r="N37" s="3">
        <v>88300</v>
      </c>
      <c r="O37" s="3">
        <v>10243</v>
      </c>
      <c r="P37" s="3" t="s">
        <v>136</v>
      </c>
      <c r="Z37" s="102"/>
      <c r="AA37" s="97" t="s">
        <v>440</v>
      </c>
      <c r="AB37" s="103" t="s">
        <v>441</v>
      </c>
      <c r="AF37" s="104">
        <f t="shared" si="1"/>
        <v>5.0000000000000001E-4</v>
      </c>
      <c r="AK37" s="3" t="s">
        <v>435</v>
      </c>
      <c r="AL37" s="101">
        <v>95</v>
      </c>
    </row>
    <row r="38" spans="1:38">
      <c r="A38" s="3" t="s">
        <v>442</v>
      </c>
      <c r="B38" s="3" t="s">
        <v>443</v>
      </c>
      <c r="C38" s="3">
        <v>11509</v>
      </c>
      <c r="D38" s="3" t="str">
        <f t="shared" si="0"/>
        <v>Ključ</v>
      </c>
      <c r="E38" s="3">
        <v>79280</v>
      </c>
      <c r="F38" s="3" t="s">
        <v>57</v>
      </c>
      <c r="G38" s="3">
        <v>1</v>
      </c>
      <c r="H38" s="3" t="s">
        <v>36</v>
      </c>
      <c r="I38" s="3" t="s">
        <v>444</v>
      </c>
      <c r="J38" s="3" t="s">
        <v>445</v>
      </c>
      <c r="K38" s="3" t="s">
        <v>446</v>
      </c>
      <c r="L38" s="3" t="s">
        <v>306</v>
      </c>
      <c r="M38" s="3" t="s">
        <v>447</v>
      </c>
      <c r="N38" s="3">
        <v>72224</v>
      </c>
      <c r="O38" s="3">
        <v>11177</v>
      </c>
      <c r="P38" s="3" t="s">
        <v>81</v>
      </c>
      <c r="Z38" s="102"/>
      <c r="AA38" s="97" t="s">
        <v>448</v>
      </c>
      <c r="AB38" s="103" t="s">
        <v>449</v>
      </c>
      <c r="AF38" s="104">
        <f t="shared" si="1"/>
        <v>6.9999999999999999E-4</v>
      </c>
      <c r="AK38" s="3" t="s">
        <v>442</v>
      </c>
      <c r="AL38" s="101">
        <v>84</v>
      </c>
    </row>
    <row r="39" spans="1:38">
      <c r="A39" s="3" t="s">
        <v>153</v>
      </c>
      <c r="B39" s="3" t="s">
        <v>450</v>
      </c>
      <c r="C39" s="3">
        <v>10529</v>
      </c>
      <c r="D39" s="3" t="str">
        <f t="shared" si="0"/>
        <v>Konjic</v>
      </c>
      <c r="E39" s="3">
        <v>88400</v>
      </c>
      <c r="F39" s="3" t="s">
        <v>136</v>
      </c>
      <c r="G39" s="3">
        <v>7</v>
      </c>
      <c r="H39" s="3" t="s">
        <v>36</v>
      </c>
      <c r="I39" s="3" t="s">
        <v>451</v>
      </c>
      <c r="J39" s="3" t="s">
        <v>452</v>
      </c>
      <c r="K39" s="3" t="s">
        <v>453</v>
      </c>
      <c r="L39" s="3" t="s">
        <v>153</v>
      </c>
      <c r="M39" s="3" t="s">
        <v>454</v>
      </c>
      <c r="N39" s="3">
        <v>88404</v>
      </c>
      <c r="O39" s="3">
        <v>10529</v>
      </c>
      <c r="P39" s="3" t="s">
        <v>136</v>
      </c>
      <c r="Z39" s="102"/>
      <c r="AA39" s="97" t="s">
        <v>455</v>
      </c>
      <c r="AB39" s="103" t="s">
        <v>456</v>
      </c>
      <c r="AF39" s="104" t="str">
        <f t="shared" si="1"/>
        <v>-</v>
      </c>
      <c r="AK39" s="3" t="s">
        <v>153</v>
      </c>
      <c r="AL39" s="101">
        <v>135</v>
      </c>
    </row>
    <row r="40" spans="1:38">
      <c r="A40" s="3" t="s">
        <v>457</v>
      </c>
      <c r="B40" s="3" t="s">
        <v>458</v>
      </c>
      <c r="C40" s="3">
        <v>10545</v>
      </c>
      <c r="D40" s="3" t="str">
        <f t="shared" si="0"/>
        <v>Kreševo</v>
      </c>
      <c r="E40" s="3">
        <v>71260</v>
      </c>
      <c r="F40" s="3" t="s">
        <v>42</v>
      </c>
      <c r="G40" s="3">
        <v>6</v>
      </c>
      <c r="H40" s="3" t="s">
        <v>36</v>
      </c>
      <c r="I40" s="3" t="s">
        <v>459</v>
      </c>
      <c r="J40" s="3" t="s">
        <v>460</v>
      </c>
      <c r="K40" s="3" t="s">
        <v>461</v>
      </c>
      <c r="L40" s="3" t="s">
        <v>209</v>
      </c>
      <c r="M40" s="3" t="s">
        <v>209</v>
      </c>
      <c r="N40" s="3">
        <v>75246</v>
      </c>
      <c r="O40" s="3">
        <v>11231</v>
      </c>
      <c r="P40" s="3" t="s">
        <v>35</v>
      </c>
      <c r="Z40" s="102"/>
      <c r="AB40" s="103"/>
      <c r="AF40" s="104">
        <f t="shared" si="1"/>
        <v>4.0000000000000002E-4</v>
      </c>
      <c r="AK40" s="3" t="s">
        <v>457</v>
      </c>
      <c r="AL40" s="101">
        <v>127</v>
      </c>
    </row>
    <row r="41" spans="1:38">
      <c r="A41" s="3" t="s">
        <v>462</v>
      </c>
      <c r="B41" s="3" t="s">
        <v>463</v>
      </c>
      <c r="C41" s="3">
        <v>11517</v>
      </c>
      <c r="D41" s="3" t="str">
        <f t="shared" si="0"/>
        <v>Kupres</v>
      </c>
      <c r="E41" s="3">
        <v>80320</v>
      </c>
      <c r="F41" s="3" t="s">
        <v>90</v>
      </c>
      <c r="G41" s="3">
        <v>10</v>
      </c>
      <c r="H41" s="3" t="s">
        <v>36</v>
      </c>
      <c r="I41" s="3" t="s">
        <v>464</v>
      </c>
      <c r="J41" s="3" t="s">
        <v>465</v>
      </c>
      <c r="K41" s="3" t="s">
        <v>466</v>
      </c>
      <c r="L41" s="3" t="s">
        <v>144</v>
      </c>
      <c r="M41" s="3" t="s">
        <v>467</v>
      </c>
      <c r="N41" s="3">
        <v>88265</v>
      </c>
      <c r="O41" s="3">
        <v>10260</v>
      </c>
      <c r="P41" s="3" t="s">
        <v>136</v>
      </c>
      <c r="Z41" s="102"/>
      <c r="AB41" s="103"/>
      <c r="AF41" s="104">
        <f t="shared" si="1"/>
        <v>6.9999999999999999E-4</v>
      </c>
      <c r="AK41" s="3" t="s">
        <v>462</v>
      </c>
      <c r="AL41" s="101">
        <v>155</v>
      </c>
    </row>
    <row r="42" spans="1:38">
      <c r="A42" s="3" t="s">
        <v>168</v>
      </c>
      <c r="B42" s="3" t="s">
        <v>468</v>
      </c>
      <c r="C42" s="3">
        <v>10588</v>
      </c>
      <c r="D42" s="3" t="str">
        <f t="shared" si="0"/>
        <v>Livno</v>
      </c>
      <c r="E42" s="3">
        <v>80101</v>
      </c>
      <c r="F42" s="3" t="s">
        <v>90</v>
      </c>
      <c r="G42" s="3">
        <v>10</v>
      </c>
      <c r="H42" s="3" t="s">
        <v>36</v>
      </c>
      <c r="I42" s="3" t="s">
        <v>469</v>
      </c>
      <c r="J42" s="3" t="s">
        <v>470</v>
      </c>
      <c r="K42" s="3" t="s">
        <v>471</v>
      </c>
      <c r="L42" s="3" t="s">
        <v>144</v>
      </c>
      <c r="M42" s="3" t="s">
        <v>144</v>
      </c>
      <c r="N42" s="3">
        <v>88260</v>
      </c>
      <c r="O42" s="3">
        <v>10260</v>
      </c>
      <c r="P42" s="3" t="s">
        <v>136</v>
      </c>
      <c r="Z42" s="102"/>
      <c r="AB42" s="103"/>
      <c r="AF42" s="104">
        <f t="shared" si="1"/>
        <v>6.9999999999999999E-4</v>
      </c>
      <c r="AK42" s="3" t="s">
        <v>168</v>
      </c>
      <c r="AL42" s="101">
        <v>153</v>
      </c>
    </row>
    <row r="43" spans="1:38">
      <c r="A43" s="3" t="s">
        <v>182</v>
      </c>
      <c r="B43" s="3" t="s">
        <v>472</v>
      </c>
      <c r="C43" s="3">
        <v>10600</v>
      </c>
      <c r="D43" s="3" t="str">
        <f t="shared" si="0"/>
        <v>Lukavac</v>
      </c>
      <c r="E43" s="3">
        <v>75300</v>
      </c>
      <c r="F43" s="3" t="s">
        <v>35</v>
      </c>
      <c r="G43" s="3">
        <v>3</v>
      </c>
      <c r="H43" s="3" t="s">
        <v>36</v>
      </c>
      <c r="I43" s="3" t="s">
        <v>473</v>
      </c>
      <c r="J43" s="3" t="s">
        <v>474</v>
      </c>
      <c r="K43" s="3" t="s">
        <v>475</v>
      </c>
      <c r="L43" s="3" t="s">
        <v>159</v>
      </c>
      <c r="M43" s="3" t="s">
        <v>476</v>
      </c>
      <c r="N43" s="3">
        <v>72246</v>
      </c>
      <c r="O43" s="3">
        <v>10448</v>
      </c>
      <c r="P43" s="3" t="s">
        <v>81</v>
      </c>
      <c r="Z43" s="102"/>
      <c r="AB43" s="103"/>
      <c r="AF43" s="104">
        <f t="shared" si="1"/>
        <v>5.0000000000000001E-4</v>
      </c>
      <c r="AK43" s="3" t="s">
        <v>182</v>
      </c>
      <c r="AL43" s="101">
        <v>97</v>
      </c>
    </row>
    <row r="44" spans="1:38">
      <c r="A44" s="3" t="s">
        <v>196</v>
      </c>
      <c r="B44" s="3" t="s">
        <v>477</v>
      </c>
      <c r="C44" s="3">
        <v>10626</v>
      </c>
      <c r="D44" s="3" t="str">
        <f t="shared" si="0"/>
        <v>Ljubuški</v>
      </c>
      <c r="E44" s="3">
        <v>88320</v>
      </c>
      <c r="F44" s="3" t="s">
        <v>181</v>
      </c>
      <c r="G44" s="3">
        <v>8</v>
      </c>
      <c r="H44" s="3" t="s">
        <v>36</v>
      </c>
      <c r="I44" s="3" t="s">
        <v>478</v>
      </c>
      <c r="J44" s="3" t="s">
        <v>479</v>
      </c>
      <c r="K44" s="3" t="s">
        <v>480</v>
      </c>
      <c r="L44" s="3" t="s">
        <v>91</v>
      </c>
      <c r="M44" s="3" t="s">
        <v>481</v>
      </c>
      <c r="N44" s="3">
        <v>77226</v>
      </c>
      <c r="O44" s="3">
        <v>10227</v>
      </c>
      <c r="P44" s="3" t="s">
        <v>57</v>
      </c>
      <c r="AB44" s="103"/>
      <c r="AF44" s="104">
        <f t="shared" si="1"/>
        <v>6.9999999999999999E-4</v>
      </c>
      <c r="AK44" s="3" t="s">
        <v>196</v>
      </c>
      <c r="AL44" s="101">
        <v>142</v>
      </c>
    </row>
    <row r="45" spans="1:38">
      <c r="A45" s="3" t="s">
        <v>482</v>
      </c>
      <c r="B45" s="3" t="s">
        <v>483</v>
      </c>
      <c r="C45" s="3">
        <v>10634</v>
      </c>
      <c r="D45" s="3" t="str">
        <f t="shared" si="0"/>
        <v>Maglaj</v>
      </c>
      <c r="E45" s="3">
        <v>74250</v>
      </c>
      <c r="F45" s="3" t="s">
        <v>81</v>
      </c>
      <c r="G45" s="3">
        <v>4</v>
      </c>
      <c r="H45" s="3" t="s">
        <v>36</v>
      </c>
      <c r="I45" s="3" t="s">
        <v>484</v>
      </c>
      <c r="J45" s="3" t="s">
        <v>485</v>
      </c>
      <c r="K45" s="3" t="s">
        <v>486</v>
      </c>
      <c r="L45" s="3" t="s">
        <v>487</v>
      </c>
      <c r="M45" s="3" t="s">
        <v>488</v>
      </c>
      <c r="N45" s="3">
        <v>71223</v>
      </c>
      <c r="O45" s="3">
        <v>11592</v>
      </c>
      <c r="P45" s="3" t="s">
        <v>195</v>
      </c>
      <c r="AB45" s="103"/>
      <c r="AF45" s="104">
        <f t="shared" si="1"/>
        <v>6.9999999999999999E-4</v>
      </c>
      <c r="AK45" s="3" t="s">
        <v>482</v>
      </c>
      <c r="AL45" s="101">
        <v>106</v>
      </c>
    </row>
    <row r="46" spans="1:38">
      <c r="A46" s="3" t="s">
        <v>187</v>
      </c>
      <c r="B46" s="3" t="s">
        <v>489</v>
      </c>
      <c r="C46" s="3">
        <v>11410</v>
      </c>
      <c r="D46" s="3" t="str">
        <f t="shared" si="0"/>
        <v>Mostar</v>
      </c>
      <c r="E46" s="3">
        <v>88000</v>
      </c>
      <c r="F46" s="3" t="s">
        <v>136</v>
      </c>
      <c r="G46" s="3">
        <v>7</v>
      </c>
      <c r="H46" s="3" t="s">
        <v>36</v>
      </c>
      <c r="I46" s="3" t="s">
        <v>490</v>
      </c>
      <c r="J46" s="3" t="s">
        <v>491</v>
      </c>
      <c r="K46" s="3" t="s">
        <v>492</v>
      </c>
      <c r="L46" s="3" t="s">
        <v>406</v>
      </c>
      <c r="M46" s="3" t="s">
        <v>493</v>
      </c>
      <c r="N46" s="3">
        <v>70204</v>
      </c>
      <c r="O46" s="3">
        <v>11487</v>
      </c>
      <c r="P46" s="3" t="s">
        <v>42</v>
      </c>
      <c r="X46" s="102"/>
      <c r="AA46" s="97"/>
      <c r="AB46" s="103"/>
      <c r="AF46" s="104" t="str">
        <f t="shared" si="1"/>
        <v>-</v>
      </c>
      <c r="AK46" s="3" t="s">
        <v>187</v>
      </c>
      <c r="AL46" s="101">
        <v>133</v>
      </c>
    </row>
    <row r="47" spans="1:38">
      <c r="A47" s="3" t="s">
        <v>494</v>
      </c>
      <c r="B47" s="3" t="s">
        <v>495</v>
      </c>
      <c r="C47" s="3">
        <v>10685</v>
      </c>
      <c r="D47" s="3" t="str">
        <f t="shared" si="0"/>
        <v>Neum</v>
      </c>
      <c r="E47" s="3">
        <v>88390</v>
      </c>
      <c r="F47" s="3" t="s">
        <v>136</v>
      </c>
      <c r="G47" s="3">
        <v>7</v>
      </c>
      <c r="H47" s="3" t="s">
        <v>36</v>
      </c>
      <c r="I47" s="3" t="s">
        <v>496</v>
      </c>
      <c r="J47" s="3" t="s">
        <v>497</v>
      </c>
      <c r="K47" s="3" t="s">
        <v>498</v>
      </c>
      <c r="L47" s="3" t="s">
        <v>248</v>
      </c>
      <c r="M47" s="3" t="s">
        <v>248</v>
      </c>
      <c r="N47" s="3">
        <v>74203</v>
      </c>
      <c r="O47" s="3">
        <v>11266</v>
      </c>
      <c r="P47" s="3" t="s">
        <v>81</v>
      </c>
      <c r="X47" s="102"/>
      <c r="AA47" s="97"/>
      <c r="AB47" s="103"/>
      <c r="AF47" s="104" t="str">
        <f t="shared" si="1"/>
        <v>-</v>
      </c>
      <c r="AK47" s="3" t="s">
        <v>494</v>
      </c>
      <c r="AL47" s="101">
        <v>136</v>
      </c>
    </row>
    <row r="48" spans="1:38">
      <c r="A48" s="3" t="s">
        <v>356</v>
      </c>
      <c r="B48" s="3" t="s">
        <v>499</v>
      </c>
      <c r="C48" s="3">
        <v>10774</v>
      </c>
      <c r="D48" s="3" t="str">
        <f t="shared" si="0"/>
        <v>Novi Travnik</v>
      </c>
      <c r="E48" s="3">
        <v>72290</v>
      </c>
      <c r="F48" s="3" t="s">
        <v>42</v>
      </c>
      <c r="G48" s="3">
        <v>6</v>
      </c>
      <c r="H48" s="3" t="s">
        <v>36</v>
      </c>
      <c r="I48" s="3" t="s">
        <v>500</v>
      </c>
      <c r="J48" s="3" t="s">
        <v>501</v>
      </c>
      <c r="K48" s="3" t="s">
        <v>502</v>
      </c>
      <c r="L48" s="3" t="s">
        <v>122</v>
      </c>
      <c r="M48" s="3" t="s">
        <v>503</v>
      </c>
      <c r="N48" s="3">
        <v>75328</v>
      </c>
      <c r="O48" s="3">
        <v>11479</v>
      </c>
      <c r="P48" s="3" t="s">
        <v>35</v>
      </c>
      <c r="X48" s="102"/>
      <c r="AA48" s="97"/>
      <c r="AB48" s="103"/>
      <c r="AF48" s="104">
        <f t="shared" si="1"/>
        <v>4.0000000000000002E-4</v>
      </c>
      <c r="AK48" s="3" t="s">
        <v>356</v>
      </c>
      <c r="AL48" s="101">
        <v>128</v>
      </c>
    </row>
    <row r="49" spans="1:38">
      <c r="A49" s="3" t="s">
        <v>504</v>
      </c>
      <c r="B49" s="3" t="s">
        <v>505</v>
      </c>
      <c r="C49" s="3">
        <v>11525</v>
      </c>
      <c r="D49" s="3" t="str">
        <f t="shared" si="0"/>
        <v>Odžak</v>
      </c>
      <c r="E49" s="3">
        <v>76290</v>
      </c>
      <c r="F49" s="3" t="s">
        <v>152</v>
      </c>
      <c r="G49" s="3">
        <v>2</v>
      </c>
      <c r="H49" s="3" t="s">
        <v>36</v>
      </c>
      <c r="I49" s="3" t="s">
        <v>506</v>
      </c>
      <c r="J49" s="3" t="s">
        <v>507</v>
      </c>
      <c r="K49" s="3" t="s">
        <v>508</v>
      </c>
      <c r="L49" s="3" t="s">
        <v>260</v>
      </c>
      <c r="M49" s="3" t="s">
        <v>260</v>
      </c>
      <c r="N49" s="3">
        <v>70210</v>
      </c>
      <c r="O49" s="3">
        <v>11274</v>
      </c>
      <c r="P49" s="3" t="s">
        <v>42</v>
      </c>
      <c r="X49" s="102"/>
      <c r="AA49" s="97"/>
      <c r="AF49" s="104">
        <f t="shared" si="1"/>
        <v>1.4999999999999999E-4</v>
      </c>
      <c r="AK49" s="3" t="s">
        <v>504</v>
      </c>
      <c r="AL49" s="101">
        <v>89</v>
      </c>
    </row>
    <row r="50" spans="1:38">
      <c r="A50" s="3" t="s">
        <v>417</v>
      </c>
      <c r="B50" s="3" t="s">
        <v>509</v>
      </c>
      <c r="C50" s="3">
        <v>10715</v>
      </c>
      <c r="D50" s="3" t="str">
        <f t="shared" si="0"/>
        <v>Olovo</v>
      </c>
      <c r="E50" s="3">
        <v>71340</v>
      </c>
      <c r="F50" s="3" t="s">
        <v>81</v>
      </c>
      <c r="G50" s="3">
        <v>4</v>
      </c>
      <c r="H50" s="3" t="s">
        <v>36</v>
      </c>
      <c r="I50" s="3" t="s">
        <v>510</v>
      </c>
      <c r="J50" s="3" t="s">
        <v>511</v>
      </c>
      <c r="K50" s="3" t="s">
        <v>512</v>
      </c>
      <c r="L50" s="3" t="s">
        <v>40</v>
      </c>
      <c r="M50" s="3" t="s">
        <v>513</v>
      </c>
      <c r="N50" s="3">
        <v>72278</v>
      </c>
      <c r="O50" s="3">
        <v>11061</v>
      </c>
      <c r="P50" s="3" t="s">
        <v>42</v>
      </c>
      <c r="X50" s="102"/>
      <c r="AA50" s="97"/>
      <c r="AF50" s="104">
        <f t="shared" si="1"/>
        <v>6.9999999999999999E-4</v>
      </c>
      <c r="AK50" s="3" t="s">
        <v>417</v>
      </c>
      <c r="AL50" s="101">
        <v>107</v>
      </c>
    </row>
    <row r="51" spans="1:38">
      <c r="A51" s="3" t="s">
        <v>222</v>
      </c>
      <c r="B51" s="3" t="s">
        <v>514</v>
      </c>
      <c r="C51" s="3">
        <v>11533</v>
      </c>
      <c r="D51" s="3" t="str">
        <f t="shared" si="0"/>
        <v>Orašje</v>
      </c>
      <c r="E51" s="3">
        <v>76270</v>
      </c>
      <c r="F51" s="3" t="s">
        <v>152</v>
      </c>
      <c r="G51" s="3">
        <v>2</v>
      </c>
      <c r="H51" s="3" t="s">
        <v>36</v>
      </c>
      <c r="I51" s="3" t="s">
        <v>515</v>
      </c>
      <c r="J51" s="3" t="s">
        <v>516</v>
      </c>
      <c r="K51" s="3" t="s">
        <v>517</v>
      </c>
      <c r="L51" s="3" t="s">
        <v>518</v>
      </c>
      <c r="M51" s="3" t="s">
        <v>519</v>
      </c>
      <c r="N51" s="3">
        <v>88446</v>
      </c>
      <c r="O51" s="3">
        <v>10766</v>
      </c>
      <c r="P51" s="3" t="s">
        <v>136</v>
      </c>
      <c r="X51" s="102"/>
      <c r="AA51" s="97"/>
      <c r="AF51" s="104">
        <f t="shared" si="1"/>
        <v>1.4999999999999999E-4</v>
      </c>
      <c r="AK51" s="3" t="s">
        <v>222</v>
      </c>
      <c r="AL51" s="101">
        <v>88</v>
      </c>
    </row>
    <row r="52" spans="1:38">
      <c r="A52" s="3" t="s">
        <v>520</v>
      </c>
      <c r="B52" s="3" t="s">
        <v>521</v>
      </c>
      <c r="C52" s="3">
        <v>11576</v>
      </c>
      <c r="D52" s="3" t="str">
        <f t="shared" si="0"/>
        <v>Pale</v>
      </c>
      <c r="E52" s="3">
        <v>73290</v>
      </c>
      <c r="F52" s="3" t="s">
        <v>167</v>
      </c>
      <c r="G52" s="3">
        <v>5</v>
      </c>
      <c r="H52" s="3" t="s">
        <v>36</v>
      </c>
      <c r="I52" s="3" t="s">
        <v>522</v>
      </c>
      <c r="J52" s="3" t="s">
        <v>523</v>
      </c>
      <c r="K52" s="3" t="s">
        <v>524</v>
      </c>
      <c r="L52" s="3" t="s">
        <v>272</v>
      </c>
      <c r="M52" s="3" t="s">
        <v>272</v>
      </c>
      <c r="N52" s="3">
        <v>76233</v>
      </c>
      <c r="O52" s="3">
        <v>11282</v>
      </c>
      <c r="P52" s="3" t="s">
        <v>152</v>
      </c>
      <c r="AA52" s="97"/>
      <c r="AF52" s="104">
        <f t="shared" si="1"/>
        <v>5.0000000000000001E-4</v>
      </c>
      <c r="AK52" s="3" t="s">
        <v>520</v>
      </c>
      <c r="AL52" s="101">
        <v>118</v>
      </c>
    </row>
    <row r="53" spans="1:38">
      <c r="A53" s="3" t="s">
        <v>347</v>
      </c>
      <c r="B53" s="3" t="s">
        <v>525</v>
      </c>
      <c r="C53" s="3">
        <v>10731</v>
      </c>
      <c r="D53" s="3" t="str">
        <f t="shared" si="0"/>
        <v>Posušje</v>
      </c>
      <c r="E53" s="3">
        <v>88240</v>
      </c>
      <c r="F53" s="3" t="s">
        <v>181</v>
      </c>
      <c r="G53" s="3">
        <v>8</v>
      </c>
      <c r="H53" s="3" t="s">
        <v>36</v>
      </c>
      <c r="I53" s="3" t="s">
        <v>526</v>
      </c>
      <c r="J53" s="3" t="s">
        <v>527</v>
      </c>
      <c r="K53" s="3" t="s">
        <v>528</v>
      </c>
      <c r="L53" s="3" t="s">
        <v>197</v>
      </c>
      <c r="M53" s="3" t="s">
        <v>529</v>
      </c>
      <c r="N53" s="3">
        <v>88305</v>
      </c>
      <c r="O53" s="3">
        <v>10243</v>
      </c>
      <c r="P53" s="3" t="s">
        <v>136</v>
      </c>
      <c r="AA53" s="97"/>
      <c r="AF53" s="104">
        <f t="shared" si="1"/>
        <v>6.9999999999999999E-4</v>
      </c>
      <c r="AK53" s="3" t="s">
        <v>347</v>
      </c>
      <c r="AL53" s="101">
        <v>143</v>
      </c>
    </row>
    <row r="54" spans="1:38">
      <c r="A54" s="3" t="s">
        <v>518</v>
      </c>
      <c r="B54" s="3" t="s">
        <v>530</v>
      </c>
      <c r="C54" s="3">
        <v>10766</v>
      </c>
      <c r="D54" s="3" t="str">
        <f t="shared" si="0"/>
        <v>Prozor</v>
      </c>
      <c r="E54" s="3">
        <v>88440</v>
      </c>
      <c r="F54" s="3" t="s">
        <v>136</v>
      </c>
      <c r="G54" s="3">
        <v>7</v>
      </c>
      <c r="H54" s="3" t="s">
        <v>36</v>
      </c>
      <c r="I54" s="3" t="s">
        <v>531</v>
      </c>
      <c r="J54" s="3" t="s">
        <v>532</v>
      </c>
      <c r="K54" s="3" t="s">
        <v>533</v>
      </c>
      <c r="L54" s="3" t="s">
        <v>222</v>
      </c>
      <c r="M54" s="3" t="s">
        <v>534</v>
      </c>
      <c r="N54" s="3">
        <v>76274</v>
      </c>
      <c r="O54" s="3">
        <v>11533</v>
      </c>
      <c r="P54" s="3" t="s">
        <v>152</v>
      </c>
      <c r="AA54" s="97"/>
      <c r="AF54" s="104" t="str">
        <f t="shared" si="1"/>
        <v>-</v>
      </c>
      <c r="AK54" s="3" t="s">
        <v>518</v>
      </c>
      <c r="AL54" s="101">
        <v>137</v>
      </c>
    </row>
    <row r="55" spans="1:38">
      <c r="A55" s="3" t="s">
        <v>535</v>
      </c>
      <c r="B55" s="3" t="s">
        <v>536</v>
      </c>
      <c r="C55" s="3">
        <v>11304</v>
      </c>
      <c r="D55" s="3" t="str">
        <f t="shared" si="0"/>
        <v>Ravno</v>
      </c>
      <c r="E55" s="3">
        <v>88370</v>
      </c>
      <c r="F55" s="3" t="s">
        <v>136</v>
      </c>
      <c r="G55" s="3">
        <v>7</v>
      </c>
      <c r="H55" s="3" t="s">
        <v>36</v>
      </c>
      <c r="I55" s="3" t="s">
        <v>537</v>
      </c>
      <c r="J55" s="3" t="s">
        <v>538</v>
      </c>
      <c r="K55" s="3" t="s">
        <v>539</v>
      </c>
      <c r="L55" s="3" t="s">
        <v>138</v>
      </c>
      <c r="M55" s="3" t="s">
        <v>540</v>
      </c>
      <c r="N55" s="3">
        <v>76257</v>
      </c>
      <c r="O55" s="3">
        <v>10391</v>
      </c>
      <c r="P55" s="3" t="s">
        <v>35</v>
      </c>
      <c r="AA55" s="97"/>
      <c r="AF55" s="104" t="str">
        <f t="shared" si="1"/>
        <v>-</v>
      </c>
      <c r="AK55" s="3" t="s">
        <v>535</v>
      </c>
      <c r="AL55" s="101">
        <v>138</v>
      </c>
    </row>
    <row r="56" spans="1:38">
      <c r="A56" s="3" t="s">
        <v>541</v>
      </c>
      <c r="B56" s="3" t="s">
        <v>542</v>
      </c>
      <c r="C56" s="3">
        <v>11541</v>
      </c>
      <c r="D56" s="3" t="str">
        <f t="shared" si="0"/>
        <v>Sanski Most</v>
      </c>
      <c r="E56" s="3">
        <v>79260</v>
      </c>
      <c r="F56" s="3" t="s">
        <v>57</v>
      </c>
      <c r="G56" s="3">
        <v>1</v>
      </c>
      <c r="H56" s="3" t="s">
        <v>36</v>
      </c>
      <c r="I56" s="3" t="s">
        <v>543</v>
      </c>
      <c r="J56" s="3" t="s">
        <v>544</v>
      </c>
      <c r="K56" s="3" t="s">
        <v>545</v>
      </c>
      <c r="L56" s="3" t="s">
        <v>295</v>
      </c>
      <c r="M56" s="3" t="s">
        <v>546</v>
      </c>
      <c r="N56" s="3">
        <v>71305</v>
      </c>
      <c r="O56" s="3">
        <v>11126</v>
      </c>
      <c r="P56" s="3" t="s">
        <v>81</v>
      </c>
      <c r="AA56" s="97"/>
      <c r="AF56" s="104">
        <f t="shared" si="1"/>
        <v>6.9999999999999999E-4</v>
      </c>
      <c r="AK56" s="3" t="s">
        <v>541</v>
      </c>
      <c r="AL56" s="101">
        <v>85</v>
      </c>
    </row>
    <row r="57" spans="1:38">
      <c r="A57" s="3" t="s">
        <v>547</v>
      </c>
      <c r="B57" s="3" t="s">
        <v>548</v>
      </c>
      <c r="C57" s="3">
        <v>11312</v>
      </c>
      <c r="D57" s="3" t="str">
        <f t="shared" si="0"/>
        <v>Sapna</v>
      </c>
      <c r="E57" s="3">
        <v>75411</v>
      </c>
      <c r="F57" s="3" t="s">
        <v>35</v>
      </c>
      <c r="G57" s="3">
        <v>3</v>
      </c>
      <c r="H57" s="3" t="s">
        <v>36</v>
      </c>
      <c r="I57" s="3" t="s">
        <v>549</v>
      </c>
      <c r="J57" s="3" t="s">
        <v>550</v>
      </c>
      <c r="K57" s="3" t="s">
        <v>551</v>
      </c>
      <c r="L57" s="3" t="s">
        <v>541</v>
      </c>
      <c r="M57" s="3" t="s">
        <v>552</v>
      </c>
      <c r="N57" s="3">
        <v>79266</v>
      </c>
      <c r="O57" s="3">
        <v>11541</v>
      </c>
      <c r="P57" s="3" t="s">
        <v>57</v>
      </c>
      <c r="AA57" s="97"/>
      <c r="AF57" s="104">
        <f t="shared" si="1"/>
        <v>5.0000000000000001E-4</v>
      </c>
      <c r="AK57" s="3" t="s">
        <v>547</v>
      </c>
      <c r="AL57" s="101">
        <v>102</v>
      </c>
    </row>
    <row r="58" spans="1:38">
      <c r="A58" s="3" t="s">
        <v>553</v>
      </c>
      <c r="B58" s="3" t="s">
        <v>554</v>
      </c>
      <c r="C58" s="3">
        <v>10839</v>
      </c>
      <c r="D58" s="3" t="str">
        <f t="shared" si="0"/>
        <v>Sarajevo-Centar</v>
      </c>
      <c r="E58" s="3">
        <v>71000</v>
      </c>
      <c r="F58" s="3" t="s">
        <v>195</v>
      </c>
      <c r="G58" s="3">
        <v>9</v>
      </c>
      <c r="H58" s="3" t="s">
        <v>36</v>
      </c>
      <c r="I58" s="3" t="s">
        <v>555</v>
      </c>
      <c r="J58" s="3" t="s">
        <v>556</v>
      </c>
      <c r="K58" s="3" t="s">
        <v>557</v>
      </c>
      <c r="L58" s="3" t="s">
        <v>368</v>
      </c>
      <c r="M58" s="3" t="s">
        <v>558</v>
      </c>
      <c r="N58" s="3">
        <v>88343</v>
      </c>
      <c r="O58" s="3">
        <v>10405</v>
      </c>
      <c r="P58" s="3" t="s">
        <v>181</v>
      </c>
      <c r="AA58" s="97"/>
      <c r="AF58" s="104">
        <f t="shared" si="1"/>
        <v>6.9999999999999999E-4</v>
      </c>
      <c r="AK58" s="3" t="s">
        <v>553</v>
      </c>
      <c r="AL58" s="101">
        <v>146</v>
      </c>
    </row>
    <row r="59" spans="1:38">
      <c r="A59" s="3" t="s">
        <v>559</v>
      </c>
      <c r="B59" s="3" t="s">
        <v>560</v>
      </c>
      <c r="C59" s="3">
        <v>10871</v>
      </c>
      <c r="D59" s="3" t="str">
        <f t="shared" si="0"/>
        <v>Sarajevo-Novi Grad</v>
      </c>
      <c r="E59" s="3">
        <v>71000</v>
      </c>
      <c r="F59" s="3" t="s">
        <v>195</v>
      </c>
      <c r="G59" s="3">
        <v>9</v>
      </c>
      <c r="H59" s="3" t="s">
        <v>36</v>
      </c>
      <c r="I59" s="3" t="s">
        <v>561</v>
      </c>
      <c r="J59" s="3" t="s">
        <v>562</v>
      </c>
      <c r="K59" s="3" t="s">
        <v>563</v>
      </c>
      <c r="L59" s="3" t="s">
        <v>504</v>
      </c>
      <c r="M59" s="3" t="s">
        <v>564</v>
      </c>
      <c r="N59" s="3">
        <v>76297</v>
      </c>
      <c r="O59" s="3">
        <v>11525</v>
      </c>
      <c r="P59" s="3" t="s">
        <v>152</v>
      </c>
      <c r="AA59" s="97"/>
      <c r="AF59" s="104">
        <f t="shared" si="1"/>
        <v>6.9999999999999999E-4</v>
      </c>
      <c r="AK59" s="3" t="s">
        <v>559</v>
      </c>
      <c r="AL59" s="101">
        <v>150</v>
      </c>
    </row>
    <row r="60" spans="1:38">
      <c r="A60" s="3" t="s">
        <v>565</v>
      </c>
      <c r="B60" s="3" t="s">
        <v>566</v>
      </c>
      <c r="C60" s="3">
        <v>11568</v>
      </c>
      <c r="D60" s="3" t="str">
        <f t="shared" si="0"/>
        <v>Sarajevo-Novo Sarajevo</v>
      </c>
      <c r="E60" s="3">
        <v>71000</v>
      </c>
      <c r="F60" s="3" t="s">
        <v>195</v>
      </c>
      <c r="G60" s="3">
        <v>9</v>
      </c>
      <c r="H60" s="3" t="s">
        <v>36</v>
      </c>
      <c r="I60" s="3" t="s">
        <v>567</v>
      </c>
      <c r="J60" s="3" t="s">
        <v>568</v>
      </c>
      <c r="K60" s="3" t="s">
        <v>569</v>
      </c>
      <c r="L60" s="3" t="s">
        <v>284</v>
      </c>
      <c r="M60" s="3" t="s">
        <v>284</v>
      </c>
      <c r="N60" s="3">
        <v>70220</v>
      </c>
      <c r="O60" s="3">
        <v>10294</v>
      </c>
      <c r="P60" s="3" t="s">
        <v>42</v>
      </c>
      <c r="AA60" s="97"/>
      <c r="AF60" s="104">
        <f t="shared" si="1"/>
        <v>6.9999999999999999E-4</v>
      </c>
      <c r="AK60" s="3" t="s">
        <v>565</v>
      </c>
      <c r="AL60" s="101">
        <v>148</v>
      </c>
    </row>
    <row r="61" spans="1:38">
      <c r="A61" s="3" t="s">
        <v>570</v>
      </c>
      <c r="B61" s="3" t="s">
        <v>571</v>
      </c>
      <c r="C61" s="3">
        <v>11584</v>
      </c>
      <c r="D61" s="3" t="str">
        <f t="shared" si="0"/>
        <v>Sarajevo-Stari Grad</v>
      </c>
      <c r="E61" s="3">
        <v>71000</v>
      </c>
      <c r="F61" s="3" t="s">
        <v>195</v>
      </c>
      <c r="G61" s="3">
        <v>9</v>
      </c>
      <c r="H61" s="3" t="s">
        <v>36</v>
      </c>
      <c r="I61" s="3" t="s">
        <v>572</v>
      </c>
      <c r="J61" s="3" t="s">
        <v>573</v>
      </c>
      <c r="K61" s="3" t="s">
        <v>574</v>
      </c>
      <c r="L61" s="3" t="s">
        <v>187</v>
      </c>
      <c r="M61" s="3" t="s">
        <v>575</v>
      </c>
      <c r="N61" s="3">
        <v>88215</v>
      </c>
      <c r="O61" s="3">
        <v>11410</v>
      </c>
      <c r="P61" s="3" t="s">
        <v>136</v>
      </c>
      <c r="AA61" s="97"/>
      <c r="AF61" s="104">
        <f t="shared" si="1"/>
        <v>6.9999999999999999E-4</v>
      </c>
      <c r="AK61" s="3" t="s">
        <v>570</v>
      </c>
      <c r="AL61" s="101">
        <v>151</v>
      </c>
    </row>
    <row r="62" spans="1:38">
      <c r="A62" s="3" t="s">
        <v>247</v>
      </c>
      <c r="B62" s="3" t="s">
        <v>576</v>
      </c>
      <c r="C62" s="3">
        <v>10987</v>
      </c>
      <c r="D62" s="3" t="str">
        <f t="shared" si="0"/>
        <v>Srebrenik</v>
      </c>
      <c r="E62" s="3">
        <v>75350</v>
      </c>
      <c r="F62" s="3" t="s">
        <v>35</v>
      </c>
      <c r="G62" s="3">
        <v>3</v>
      </c>
      <c r="H62" s="3" t="s">
        <v>36</v>
      </c>
      <c r="I62" s="3" t="s">
        <v>577</v>
      </c>
      <c r="J62" s="3" t="s">
        <v>578</v>
      </c>
      <c r="K62" s="3" t="s">
        <v>579</v>
      </c>
      <c r="L62" s="3" t="s">
        <v>368</v>
      </c>
      <c r="M62" s="3" t="s">
        <v>580</v>
      </c>
      <c r="N62" s="3">
        <v>88344</v>
      </c>
      <c r="O62" s="3">
        <v>10405</v>
      </c>
      <c r="P62" s="3" t="s">
        <v>181</v>
      </c>
      <c r="AA62" s="97"/>
      <c r="AF62" s="104">
        <f t="shared" si="1"/>
        <v>5.0000000000000001E-4</v>
      </c>
      <c r="AK62" s="3" t="s">
        <v>247</v>
      </c>
      <c r="AL62" s="101">
        <v>98</v>
      </c>
    </row>
    <row r="63" spans="1:38">
      <c r="A63" s="3" t="s">
        <v>252</v>
      </c>
      <c r="B63" s="3" t="s">
        <v>581</v>
      </c>
      <c r="C63" s="3">
        <v>11606</v>
      </c>
      <c r="D63" s="3" t="str">
        <f t="shared" si="0"/>
        <v>Stolac</v>
      </c>
      <c r="E63" s="3">
        <v>88360</v>
      </c>
      <c r="F63" s="3" t="s">
        <v>136</v>
      </c>
      <c r="G63" s="3">
        <v>7</v>
      </c>
      <c r="H63" s="3" t="s">
        <v>36</v>
      </c>
      <c r="I63" s="3" t="s">
        <v>582</v>
      </c>
      <c r="J63" s="3" t="s">
        <v>583</v>
      </c>
      <c r="K63" s="3" t="s">
        <v>584</v>
      </c>
      <c r="L63" s="3" t="s">
        <v>296</v>
      </c>
      <c r="M63" s="3" t="s">
        <v>296</v>
      </c>
      <c r="N63" s="3">
        <v>80260</v>
      </c>
      <c r="O63" s="3">
        <v>11614</v>
      </c>
      <c r="P63" s="3" t="s">
        <v>90</v>
      </c>
      <c r="AA63" s="97"/>
      <c r="AF63" s="104" t="str">
        <f t="shared" si="1"/>
        <v>-</v>
      </c>
      <c r="AK63" s="3" t="s">
        <v>252</v>
      </c>
      <c r="AL63" s="101">
        <v>139</v>
      </c>
    </row>
    <row r="64" spans="1:38">
      <c r="A64" s="3" t="s">
        <v>271</v>
      </c>
      <c r="B64" s="3" t="s">
        <v>585</v>
      </c>
      <c r="C64" s="3">
        <v>10570</v>
      </c>
      <c r="D64" s="3" t="str">
        <f t="shared" si="0"/>
        <v>Široki Brijeg</v>
      </c>
      <c r="E64" s="3">
        <v>88220</v>
      </c>
      <c r="F64" s="3" t="s">
        <v>181</v>
      </c>
      <c r="G64" s="3">
        <v>8</v>
      </c>
      <c r="H64" s="3" t="s">
        <v>36</v>
      </c>
      <c r="I64" s="3" t="s">
        <v>586</v>
      </c>
      <c r="J64" s="3" t="s">
        <v>587</v>
      </c>
      <c r="K64" s="3" t="s">
        <v>588</v>
      </c>
      <c r="L64" s="3" t="s">
        <v>139</v>
      </c>
      <c r="M64" s="3" t="s">
        <v>589</v>
      </c>
      <c r="N64" s="3">
        <v>70237</v>
      </c>
      <c r="O64" s="3">
        <v>10197</v>
      </c>
      <c r="P64" s="3" t="s">
        <v>42</v>
      </c>
      <c r="AA64" s="97"/>
      <c r="AF64" s="104">
        <f t="shared" si="1"/>
        <v>6.9999999999999999E-4</v>
      </c>
      <c r="AK64" s="3" t="s">
        <v>271</v>
      </c>
      <c r="AL64" s="101">
        <v>140</v>
      </c>
    </row>
    <row r="65" spans="1:38">
      <c r="A65" s="3" t="s">
        <v>590</v>
      </c>
      <c r="B65" s="3" t="s">
        <v>591</v>
      </c>
      <c r="C65" s="3">
        <v>11339</v>
      </c>
      <c r="D65" s="3" t="str">
        <f t="shared" ref="D65:D80" si="2">A65</f>
        <v>Teočak</v>
      </c>
      <c r="E65" s="3">
        <v>75414</v>
      </c>
      <c r="F65" s="3" t="s">
        <v>35</v>
      </c>
      <c r="G65" s="3">
        <v>3</v>
      </c>
      <c r="H65" s="3" t="s">
        <v>36</v>
      </c>
      <c r="I65" s="3" t="s">
        <v>592</v>
      </c>
      <c r="J65" s="3" t="s">
        <v>593</v>
      </c>
      <c r="K65" s="3" t="s">
        <v>594</v>
      </c>
      <c r="L65" s="3" t="s">
        <v>247</v>
      </c>
      <c r="M65" s="3" t="s">
        <v>595</v>
      </c>
      <c r="N65" s="3">
        <v>75358</v>
      </c>
      <c r="O65" s="3">
        <v>10987</v>
      </c>
      <c r="P65" s="3" t="s">
        <v>35</v>
      </c>
      <c r="AA65" s="97"/>
      <c r="AF65" s="104">
        <f t="shared" si="1"/>
        <v>5.0000000000000001E-4</v>
      </c>
      <c r="AK65" s="3" t="s">
        <v>590</v>
      </c>
      <c r="AL65" s="101">
        <v>103</v>
      </c>
    </row>
    <row r="66" spans="1:38">
      <c r="A66" s="3" t="s">
        <v>596</v>
      </c>
      <c r="B66" s="3" t="s">
        <v>597</v>
      </c>
      <c r="C66" s="3">
        <v>11045</v>
      </c>
      <c r="D66" s="3" t="str">
        <f t="shared" si="2"/>
        <v>Tešanj</v>
      </c>
      <c r="E66" s="3">
        <v>74260</v>
      </c>
      <c r="F66" s="3" t="s">
        <v>81</v>
      </c>
      <c r="G66" s="3">
        <v>4</v>
      </c>
      <c r="H66" s="3" t="s">
        <v>36</v>
      </c>
      <c r="I66" s="3" t="s">
        <v>598</v>
      </c>
      <c r="J66" s="3" t="s">
        <v>599</v>
      </c>
      <c r="K66" s="3" t="s">
        <v>600</v>
      </c>
      <c r="L66" s="3" t="s">
        <v>182</v>
      </c>
      <c r="M66" s="3" t="s">
        <v>601</v>
      </c>
      <c r="N66" s="3">
        <v>75308</v>
      </c>
      <c r="O66" s="3">
        <v>10600</v>
      </c>
      <c r="P66" s="3" t="s">
        <v>35</v>
      </c>
      <c r="AA66" s="97"/>
      <c r="AF66" s="104">
        <f t="shared" si="1"/>
        <v>6.9999999999999999E-4</v>
      </c>
      <c r="AK66" s="3" t="s">
        <v>596</v>
      </c>
      <c r="AL66" s="101">
        <v>108</v>
      </c>
    </row>
    <row r="67" spans="1:38">
      <c r="A67" s="3" t="s">
        <v>602</v>
      </c>
      <c r="B67" s="3" t="s">
        <v>603</v>
      </c>
      <c r="C67" s="3">
        <v>10308</v>
      </c>
      <c r="D67" s="3" t="str">
        <f t="shared" si="2"/>
        <v>Tomislavgrad</v>
      </c>
      <c r="E67" s="3">
        <v>80240</v>
      </c>
      <c r="F67" s="3" t="s">
        <v>90</v>
      </c>
      <c r="G67" s="3">
        <v>10</v>
      </c>
      <c r="H67" s="3" t="s">
        <v>36</v>
      </c>
      <c r="I67" s="3" t="s">
        <v>604</v>
      </c>
      <c r="J67" s="3" t="s">
        <v>605</v>
      </c>
      <c r="K67" s="3" t="s">
        <v>606</v>
      </c>
      <c r="L67" s="3" t="s">
        <v>324</v>
      </c>
      <c r="M67" s="3" t="s">
        <v>607</v>
      </c>
      <c r="N67" s="3">
        <v>75274</v>
      </c>
      <c r="O67" s="3">
        <v>11215</v>
      </c>
      <c r="P67" s="3" t="s">
        <v>35</v>
      </c>
      <c r="AA67" s="97"/>
      <c r="AF67" s="104">
        <f t="shared" ref="AF67:AF80" si="3">VLOOKUP(F67,AG$2:AH$11,2,FALSE)</f>
        <v>6.9999999999999999E-4</v>
      </c>
      <c r="AK67" s="3" t="s">
        <v>602</v>
      </c>
      <c r="AL67" s="101">
        <v>154</v>
      </c>
    </row>
    <row r="68" spans="1:38">
      <c r="A68" s="3" t="s">
        <v>40</v>
      </c>
      <c r="B68" s="3" t="s">
        <v>608</v>
      </c>
      <c r="C68" s="3">
        <v>11061</v>
      </c>
      <c r="D68" s="3" t="str">
        <f t="shared" si="2"/>
        <v>Travnik</v>
      </c>
      <c r="E68" s="3">
        <v>72270</v>
      </c>
      <c r="F68" s="3" t="s">
        <v>42</v>
      </c>
      <c r="G68" s="3">
        <v>6</v>
      </c>
      <c r="H68" s="3" t="s">
        <v>36</v>
      </c>
      <c r="I68" s="3" t="s">
        <v>609</v>
      </c>
      <c r="J68" s="3" t="s">
        <v>610</v>
      </c>
      <c r="K68" s="3" t="s">
        <v>611</v>
      </c>
      <c r="L68" s="3" t="s">
        <v>324</v>
      </c>
      <c r="M68" s="3" t="s">
        <v>612</v>
      </c>
      <c r="N68" s="3">
        <v>75273</v>
      </c>
      <c r="O68" s="3">
        <v>11215</v>
      </c>
      <c r="P68" s="3" t="s">
        <v>35</v>
      </c>
      <c r="AA68" s="97"/>
      <c r="AF68" s="104">
        <f t="shared" si="3"/>
        <v>4.0000000000000002E-4</v>
      </c>
      <c r="AK68" s="3" t="s">
        <v>40</v>
      </c>
      <c r="AL68" s="101">
        <v>129</v>
      </c>
    </row>
    <row r="69" spans="1:38">
      <c r="A69" s="3" t="s">
        <v>487</v>
      </c>
      <c r="B69" s="3" t="s">
        <v>613</v>
      </c>
      <c r="C69" s="3">
        <v>11592</v>
      </c>
      <c r="D69" s="3" t="str">
        <f t="shared" si="2"/>
        <v>Trnovo</v>
      </c>
      <c r="E69" s="3">
        <v>71220</v>
      </c>
      <c r="F69" s="3" t="s">
        <v>195</v>
      </c>
      <c r="G69" s="3">
        <v>9</v>
      </c>
      <c r="H69" s="3" t="s">
        <v>36</v>
      </c>
      <c r="I69" s="3" t="s">
        <v>614</v>
      </c>
      <c r="J69" s="3" t="s">
        <v>615</v>
      </c>
      <c r="K69" s="3" t="s">
        <v>616</v>
      </c>
      <c r="L69" s="3" t="s">
        <v>271</v>
      </c>
      <c r="M69" s="3" t="s">
        <v>617</v>
      </c>
      <c r="N69" s="3">
        <v>88342</v>
      </c>
      <c r="O69" s="3">
        <v>10570</v>
      </c>
      <c r="P69" s="3" t="s">
        <v>181</v>
      </c>
      <c r="AA69" s="97"/>
      <c r="AF69" s="104">
        <f t="shared" si="3"/>
        <v>6.9999999999999999E-4</v>
      </c>
      <c r="AK69" s="3" t="s">
        <v>487</v>
      </c>
      <c r="AL69" s="101">
        <v>152</v>
      </c>
    </row>
    <row r="70" spans="1:38">
      <c r="A70" s="3" t="s">
        <v>283</v>
      </c>
      <c r="B70" s="3" t="s">
        <v>618</v>
      </c>
      <c r="C70" s="3">
        <v>11088</v>
      </c>
      <c r="D70" s="3" t="str">
        <f t="shared" si="2"/>
        <v>Tuzla</v>
      </c>
      <c r="E70" s="3">
        <v>75000</v>
      </c>
      <c r="F70" s="3" t="s">
        <v>35</v>
      </c>
      <c r="G70" s="3">
        <v>3</v>
      </c>
      <c r="H70" s="3" t="s">
        <v>36</v>
      </c>
      <c r="I70" s="3" t="s">
        <v>619</v>
      </c>
      <c r="J70" s="3" t="s">
        <v>620</v>
      </c>
      <c r="K70" s="3" t="s">
        <v>621</v>
      </c>
      <c r="L70" s="3" t="s">
        <v>324</v>
      </c>
      <c r="M70" s="3" t="s">
        <v>622</v>
      </c>
      <c r="N70" s="3">
        <v>75272</v>
      </c>
      <c r="O70" s="3">
        <v>11215</v>
      </c>
      <c r="P70" s="3" t="s">
        <v>35</v>
      </c>
      <c r="AA70" s="97"/>
      <c r="AF70" s="104">
        <f t="shared" si="3"/>
        <v>5.0000000000000001E-4</v>
      </c>
      <c r="AK70" s="3" t="s">
        <v>283</v>
      </c>
      <c r="AL70" s="101">
        <v>99</v>
      </c>
    </row>
    <row r="71" spans="1:38">
      <c r="A71" s="3" t="s">
        <v>623</v>
      </c>
      <c r="B71" s="3" t="s">
        <v>624</v>
      </c>
      <c r="C71" s="3">
        <v>11622</v>
      </c>
      <c r="D71" s="3" t="str">
        <f t="shared" si="2"/>
        <v>Usora</v>
      </c>
      <c r="E71" s="3">
        <v>74230</v>
      </c>
      <c r="F71" s="3" t="s">
        <v>81</v>
      </c>
      <c r="G71" s="3">
        <v>4</v>
      </c>
      <c r="H71" s="3" t="s">
        <v>36</v>
      </c>
      <c r="I71" s="3" t="s">
        <v>625</v>
      </c>
      <c r="J71" s="3" t="s">
        <v>626</v>
      </c>
      <c r="K71" s="3" t="s">
        <v>627</v>
      </c>
      <c r="L71" s="3" t="s">
        <v>541</v>
      </c>
      <c r="M71" s="3" t="s">
        <v>628</v>
      </c>
      <c r="N71" s="3">
        <v>79264</v>
      </c>
      <c r="O71" s="3">
        <v>11541</v>
      </c>
      <c r="P71" s="3" t="s">
        <v>57</v>
      </c>
      <c r="AA71" s="97"/>
      <c r="AF71" s="104">
        <f t="shared" si="3"/>
        <v>6.9999999999999999E-4</v>
      </c>
      <c r="AK71" s="3" t="s">
        <v>623</v>
      </c>
      <c r="AL71" s="101">
        <v>115</v>
      </c>
    </row>
    <row r="72" spans="1:38">
      <c r="A72" s="3" t="s">
        <v>629</v>
      </c>
      <c r="B72" s="3" t="s">
        <v>630</v>
      </c>
      <c r="C72" s="3">
        <v>11100</v>
      </c>
      <c r="D72" s="3" t="str">
        <f t="shared" si="2"/>
        <v>Vareš</v>
      </c>
      <c r="E72" s="3">
        <v>71330</v>
      </c>
      <c r="F72" s="3" t="s">
        <v>81</v>
      </c>
      <c r="G72" s="3">
        <v>4</v>
      </c>
      <c r="H72" s="3" t="s">
        <v>36</v>
      </c>
      <c r="I72" s="3" t="s">
        <v>631</v>
      </c>
      <c r="J72" s="3" t="s">
        <v>632</v>
      </c>
      <c r="K72" s="3" t="s">
        <v>633</v>
      </c>
      <c r="L72" s="3" t="s">
        <v>316</v>
      </c>
      <c r="M72" s="3" t="s">
        <v>316</v>
      </c>
      <c r="N72" s="3">
        <v>71270</v>
      </c>
      <c r="O72" s="3">
        <v>10324</v>
      </c>
      <c r="P72" s="3" t="s">
        <v>42</v>
      </c>
      <c r="AA72" s="97"/>
      <c r="AF72" s="104">
        <f t="shared" si="3"/>
        <v>6.9999999999999999E-4</v>
      </c>
      <c r="AK72" s="3" t="s">
        <v>629</v>
      </c>
      <c r="AL72" s="101">
        <v>109</v>
      </c>
    </row>
    <row r="73" spans="1:38">
      <c r="A73" s="3" t="s">
        <v>634</v>
      </c>
      <c r="B73" s="3" t="s">
        <v>635</v>
      </c>
      <c r="C73" s="3">
        <v>11118</v>
      </c>
      <c r="D73" s="3" t="str">
        <f t="shared" si="2"/>
        <v>Velika Kladuša</v>
      </c>
      <c r="E73" s="3">
        <v>77230</v>
      </c>
      <c r="F73" s="3" t="s">
        <v>57</v>
      </c>
      <c r="G73" s="3">
        <v>1</v>
      </c>
      <c r="H73" s="3" t="s">
        <v>36</v>
      </c>
      <c r="I73" s="3" t="s">
        <v>636</v>
      </c>
      <c r="J73" s="3" t="s">
        <v>637</v>
      </c>
      <c r="K73" s="3" t="s">
        <v>638</v>
      </c>
      <c r="L73" s="3" t="s">
        <v>197</v>
      </c>
      <c r="M73" s="3" t="s">
        <v>639</v>
      </c>
      <c r="N73" s="3">
        <v>88306</v>
      </c>
      <c r="O73" s="3">
        <v>10243</v>
      </c>
      <c r="P73" s="3" t="s">
        <v>136</v>
      </c>
      <c r="AA73" s="97"/>
      <c r="AF73" s="104">
        <f t="shared" si="3"/>
        <v>6.9999999999999999E-4</v>
      </c>
      <c r="AK73" s="3" t="s">
        <v>634</v>
      </c>
      <c r="AL73" s="101">
        <v>86</v>
      </c>
    </row>
    <row r="74" spans="1:38">
      <c r="A74" s="3" t="s">
        <v>295</v>
      </c>
      <c r="B74" s="3" t="s">
        <v>640</v>
      </c>
      <c r="C74" s="3">
        <v>11126</v>
      </c>
      <c r="D74" s="3" t="str">
        <f t="shared" si="2"/>
        <v>Visoko</v>
      </c>
      <c r="E74" s="3">
        <v>71300</v>
      </c>
      <c r="F74" s="3" t="s">
        <v>81</v>
      </c>
      <c r="G74" s="3">
        <v>4</v>
      </c>
      <c r="H74" s="3" t="s">
        <v>36</v>
      </c>
      <c r="I74" s="3" t="s">
        <v>641</v>
      </c>
      <c r="J74" s="3" t="s">
        <v>642</v>
      </c>
      <c r="K74" s="3" t="s">
        <v>643</v>
      </c>
      <c r="L74" s="3" t="s">
        <v>325</v>
      </c>
      <c r="M74" s="3" t="s">
        <v>325</v>
      </c>
      <c r="N74" s="3">
        <v>80230</v>
      </c>
      <c r="O74" s="3">
        <v>10359</v>
      </c>
      <c r="P74" s="3" t="s">
        <v>90</v>
      </c>
      <c r="AA74" s="97"/>
      <c r="AF74" s="104">
        <f t="shared" si="3"/>
        <v>6.9999999999999999E-4</v>
      </c>
      <c r="AK74" s="3" t="s">
        <v>295</v>
      </c>
      <c r="AL74" s="101">
        <v>110</v>
      </c>
    </row>
    <row r="75" spans="1:38">
      <c r="A75" s="3" t="s">
        <v>113</v>
      </c>
      <c r="B75" s="3" t="s">
        <v>644</v>
      </c>
      <c r="C75" s="3">
        <v>11142</v>
      </c>
      <c r="D75" s="3" t="str">
        <f t="shared" si="2"/>
        <v>Vitez</v>
      </c>
      <c r="E75" s="3">
        <v>72250</v>
      </c>
      <c r="F75" s="3" t="s">
        <v>42</v>
      </c>
      <c r="G75" s="3">
        <v>6</v>
      </c>
      <c r="H75" s="3" t="s">
        <v>36</v>
      </c>
      <c r="I75" s="3" t="s">
        <v>645</v>
      </c>
      <c r="J75" s="3" t="s">
        <v>646</v>
      </c>
      <c r="K75" s="3" t="s">
        <v>647</v>
      </c>
      <c r="L75" s="3" t="s">
        <v>482</v>
      </c>
      <c r="M75" s="3" t="s">
        <v>648</v>
      </c>
      <c r="N75" s="3">
        <v>74258</v>
      </c>
      <c r="O75" s="3">
        <v>10634</v>
      </c>
      <c r="P75" s="3" t="s">
        <v>81</v>
      </c>
      <c r="AA75" s="97"/>
      <c r="AF75" s="104">
        <f t="shared" si="3"/>
        <v>4.0000000000000002E-4</v>
      </c>
      <c r="AK75" s="3" t="s">
        <v>113</v>
      </c>
      <c r="AL75" s="101">
        <v>130</v>
      </c>
    </row>
    <row r="76" spans="1:38">
      <c r="A76" s="3" t="s">
        <v>649</v>
      </c>
      <c r="B76" s="3" t="s">
        <v>650</v>
      </c>
      <c r="C76" s="3">
        <v>10928</v>
      </c>
      <c r="D76" s="3" t="str">
        <f t="shared" si="2"/>
        <v>Vogošća</v>
      </c>
      <c r="E76" s="3">
        <v>71320</v>
      </c>
      <c r="F76" s="3" t="s">
        <v>195</v>
      </c>
      <c r="G76" s="3">
        <v>9</v>
      </c>
      <c r="H76" s="3" t="s">
        <v>36</v>
      </c>
      <c r="I76" s="3" t="s">
        <v>651</v>
      </c>
      <c r="J76" s="3" t="s">
        <v>652</v>
      </c>
      <c r="K76" s="3" t="s">
        <v>653</v>
      </c>
      <c r="L76" s="3" t="s">
        <v>398</v>
      </c>
      <c r="M76" s="3" t="s">
        <v>654</v>
      </c>
      <c r="N76" s="3">
        <v>88422</v>
      </c>
      <c r="O76" s="3">
        <v>10421</v>
      </c>
      <c r="P76" s="3" t="s">
        <v>136</v>
      </c>
      <c r="AA76" s="97"/>
      <c r="AF76" s="104">
        <f t="shared" si="3"/>
        <v>6.9999999999999999E-4</v>
      </c>
      <c r="AK76" s="3" t="s">
        <v>649</v>
      </c>
      <c r="AL76" s="101">
        <v>149</v>
      </c>
    </row>
    <row r="77" spans="1:38">
      <c r="A77" s="3" t="s">
        <v>306</v>
      </c>
      <c r="B77" s="3" t="s">
        <v>228</v>
      </c>
      <c r="C77" s="3">
        <v>11177</v>
      </c>
      <c r="D77" s="3" t="str">
        <f t="shared" si="2"/>
        <v>Zavidovići</v>
      </c>
      <c r="E77" s="3">
        <v>72220</v>
      </c>
      <c r="F77" s="3" t="s">
        <v>81</v>
      </c>
      <c r="G77" s="3">
        <v>4</v>
      </c>
      <c r="H77" s="3" t="s">
        <v>36</v>
      </c>
      <c r="I77" s="3" t="s">
        <v>655</v>
      </c>
      <c r="J77" s="3" t="s">
        <v>656</v>
      </c>
      <c r="K77" s="3" t="s">
        <v>657</v>
      </c>
      <c r="L77" s="3" t="s">
        <v>316</v>
      </c>
      <c r="M77" s="3" t="s">
        <v>658</v>
      </c>
      <c r="N77" s="3">
        <v>71275</v>
      </c>
      <c r="O77" s="3">
        <v>10324</v>
      </c>
      <c r="P77" s="3" t="s">
        <v>42</v>
      </c>
      <c r="AA77" s="97"/>
      <c r="AF77" s="104">
        <f t="shared" si="3"/>
        <v>6.9999999999999999E-4</v>
      </c>
      <c r="AK77" s="3" t="s">
        <v>306</v>
      </c>
      <c r="AL77" s="101">
        <v>111</v>
      </c>
    </row>
    <row r="78" spans="1:38">
      <c r="A78" s="3" t="s">
        <v>315</v>
      </c>
      <c r="B78" s="3" t="s">
        <v>659</v>
      </c>
      <c r="C78" s="3">
        <v>11185</v>
      </c>
      <c r="D78" s="3" t="str">
        <f t="shared" si="2"/>
        <v>Zenica</v>
      </c>
      <c r="E78" s="3">
        <v>72000</v>
      </c>
      <c r="F78" s="3" t="s">
        <v>81</v>
      </c>
      <c r="G78" s="3">
        <v>4</v>
      </c>
      <c r="H78" s="3" t="s">
        <v>36</v>
      </c>
      <c r="I78" s="3" t="s">
        <v>660</v>
      </c>
      <c r="J78" s="3" t="s">
        <v>661</v>
      </c>
      <c r="K78" s="3" t="s">
        <v>662</v>
      </c>
      <c r="L78" s="3" t="s">
        <v>106</v>
      </c>
      <c r="M78" s="3" t="s">
        <v>106</v>
      </c>
      <c r="N78" s="3">
        <v>73101</v>
      </c>
      <c r="O78" s="3">
        <v>11452</v>
      </c>
      <c r="P78" s="3" t="s">
        <v>167</v>
      </c>
      <c r="AA78" s="97"/>
      <c r="AF78" s="104">
        <f t="shared" si="3"/>
        <v>6.9999999999999999E-4</v>
      </c>
      <c r="AK78" s="3" t="s">
        <v>315</v>
      </c>
      <c r="AL78" s="101">
        <v>112</v>
      </c>
    </row>
    <row r="79" spans="1:38">
      <c r="A79" s="3" t="s">
        <v>79</v>
      </c>
      <c r="B79" s="3" t="s">
        <v>663</v>
      </c>
      <c r="C79" s="3">
        <v>11207</v>
      </c>
      <c r="D79" s="3" t="str">
        <f t="shared" si="2"/>
        <v>Žepče</v>
      </c>
      <c r="E79" s="3">
        <v>72230</v>
      </c>
      <c r="F79" s="3" t="s">
        <v>81</v>
      </c>
      <c r="G79" s="3">
        <v>4</v>
      </c>
      <c r="H79" s="3" t="s">
        <v>36</v>
      </c>
      <c r="I79" s="3" t="s">
        <v>664</v>
      </c>
      <c r="J79" s="3" t="s">
        <v>665</v>
      </c>
      <c r="K79" s="3" t="s">
        <v>666</v>
      </c>
      <c r="L79" s="3" t="s">
        <v>504</v>
      </c>
      <c r="M79" s="3" t="s">
        <v>667</v>
      </c>
      <c r="N79" s="3">
        <v>76296</v>
      </c>
      <c r="O79" s="3">
        <v>11525</v>
      </c>
      <c r="P79" s="3" t="s">
        <v>152</v>
      </c>
      <c r="AA79" s="97"/>
      <c r="AF79" s="104">
        <f t="shared" si="3"/>
        <v>6.9999999999999999E-4</v>
      </c>
      <c r="AK79" s="3" t="s">
        <v>79</v>
      </c>
      <c r="AL79" s="101">
        <v>113</v>
      </c>
    </row>
    <row r="80" spans="1:38">
      <c r="A80" s="3" t="s">
        <v>324</v>
      </c>
      <c r="B80" s="3" t="s">
        <v>668</v>
      </c>
      <c r="C80" s="3">
        <v>11215</v>
      </c>
      <c r="D80" s="3" t="str">
        <f t="shared" si="2"/>
        <v>Živinice</v>
      </c>
      <c r="E80" s="3">
        <v>75270</v>
      </c>
      <c r="F80" s="3" t="s">
        <v>35</v>
      </c>
      <c r="G80" s="3">
        <v>3</v>
      </c>
      <c r="H80" s="3" t="s">
        <v>36</v>
      </c>
      <c r="I80" s="3" t="s">
        <v>669</v>
      </c>
      <c r="J80" s="3" t="s">
        <v>670</v>
      </c>
      <c r="K80" s="3" t="s">
        <v>671</v>
      </c>
      <c r="L80" s="3" t="s">
        <v>91</v>
      </c>
      <c r="M80" s="3" t="s">
        <v>672</v>
      </c>
      <c r="N80" s="3">
        <v>77222</v>
      </c>
      <c r="O80" s="3">
        <v>10227</v>
      </c>
      <c r="P80" s="3" t="s">
        <v>57</v>
      </c>
      <c r="AA80" s="97"/>
      <c r="AF80" s="104">
        <f t="shared" si="3"/>
        <v>5.0000000000000001E-4</v>
      </c>
      <c r="AK80" s="3" t="s">
        <v>324</v>
      </c>
      <c r="AL80" s="101">
        <v>100</v>
      </c>
    </row>
    <row r="81" spans="9:32">
      <c r="I81" s="3" t="s">
        <v>673</v>
      </c>
      <c r="J81" s="3" t="s">
        <v>674</v>
      </c>
      <c r="K81" s="3" t="s">
        <v>675</v>
      </c>
      <c r="L81" s="3" t="s">
        <v>283</v>
      </c>
      <c r="M81" s="3" t="s">
        <v>676</v>
      </c>
      <c r="N81" s="3">
        <v>75208</v>
      </c>
      <c r="O81" s="3">
        <v>11088</v>
      </c>
      <c r="P81" s="3" t="s">
        <v>35</v>
      </c>
      <c r="AA81" s="97"/>
      <c r="AF81" s="104"/>
    </row>
    <row r="82" spans="9:32">
      <c r="I82" s="3" t="s">
        <v>677</v>
      </c>
      <c r="J82" s="3" t="s">
        <v>678</v>
      </c>
      <c r="K82" s="3" t="s">
        <v>679</v>
      </c>
      <c r="L82" s="3" t="s">
        <v>342</v>
      </c>
      <c r="M82" s="3" t="s">
        <v>342</v>
      </c>
      <c r="N82" s="3">
        <v>70240</v>
      </c>
      <c r="O82" s="3">
        <v>10375</v>
      </c>
      <c r="P82" s="3" t="s">
        <v>42</v>
      </c>
      <c r="AA82" s="97"/>
      <c r="AF82" s="104"/>
    </row>
    <row r="83" spans="9:32">
      <c r="I83" s="3" t="s">
        <v>680</v>
      </c>
      <c r="J83" s="3" t="s">
        <v>681</v>
      </c>
      <c r="K83" s="3" t="s">
        <v>682</v>
      </c>
      <c r="L83" s="3" t="s">
        <v>518</v>
      </c>
      <c r="M83" s="3" t="s">
        <v>683</v>
      </c>
      <c r="N83" s="3">
        <v>88443</v>
      </c>
      <c r="O83" s="3">
        <v>10766</v>
      </c>
      <c r="P83" s="3" t="s">
        <v>136</v>
      </c>
      <c r="AA83" s="97"/>
      <c r="AF83" s="104"/>
    </row>
    <row r="84" spans="9:32">
      <c r="I84" s="3" t="s">
        <v>684</v>
      </c>
      <c r="J84" s="3" t="s">
        <v>685</v>
      </c>
      <c r="K84" s="3" t="s">
        <v>686</v>
      </c>
      <c r="L84" s="3" t="s">
        <v>122</v>
      </c>
      <c r="M84" s="3" t="s">
        <v>122</v>
      </c>
      <c r="N84" s="3">
        <v>75320</v>
      </c>
      <c r="O84" s="3">
        <v>11479</v>
      </c>
      <c r="P84" s="3" t="s">
        <v>35</v>
      </c>
      <c r="AA84" s="97"/>
      <c r="AF84" s="104"/>
    </row>
    <row r="85" spans="9:32">
      <c r="I85" s="3" t="s">
        <v>687</v>
      </c>
      <c r="J85" s="3" t="s">
        <v>688</v>
      </c>
      <c r="K85" s="3" t="s">
        <v>689</v>
      </c>
      <c r="L85" s="3" t="s">
        <v>139</v>
      </c>
      <c r="M85" s="3" t="s">
        <v>690</v>
      </c>
      <c r="N85" s="3">
        <v>70233</v>
      </c>
      <c r="O85" s="3">
        <v>10197</v>
      </c>
      <c r="P85" s="3" t="s">
        <v>42</v>
      </c>
      <c r="AA85" s="97"/>
      <c r="AF85" s="104"/>
    </row>
    <row r="86" spans="9:32">
      <c r="I86" s="3" t="s">
        <v>691</v>
      </c>
      <c r="J86" s="3" t="s">
        <v>692</v>
      </c>
      <c r="K86" s="3" t="s">
        <v>693</v>
      </c>
      <c r="L86" s="3" t="s">
        <v>324</v>
      </c>
      <c r="M86" s="3" t="s">
        <v>694</v>
      </c>
      <c r="N86" s="3">
        <v>75276</v>
      </c>
      <c r="O86" s="3">
        <v>11215</v>
      </c>
      <c r="P86" s="3" t="s">
        <v>35</v>
      </c>
      <c r="AA86" s="97"/>
      <c r="AF86" s="104"/>
    </row>
    <row r="87" spans="9:32">
      <c r="I87" s="3" t="s">
        <v>695</v>
      </c>
      <c r="J87" s="3" t="s">
        <v>696</v>
      </c>
      <c r="K87" s="3" t="s">
        <v>697</v>
      </c>
      <c r="L87" s="3" t="s">
        <v>494</v>
      </c>
      <c r="M87" s="3" t="s">
        <v>698</v>
      </c>
      <c r="N87" s="3">
        <v>88392</v>
      </c>
      <c r="O87" s="3">
        <v>10685</v>
      </c>
      <c r="P87" s="3" t="s">
        <v>136</v>
      </c>
      <c r="AA87" s="97"/>
      <c r="AF87" s="104"/>
    </row>
    <row r="88" spans="9:32">
      <c r="I88" s="3" t="s">
        <v>699</v>
      </c>
      <c r="J88" s="3" t="s">
        <v>700</v>
      </c>
      <c r="K88" s="3" t="s">
        <v>701</v>
      </c>
      <c r="L88" s="3" t="s">
        <v>138</v>
      </c>
      <c r="M88" s="3" t="s">
        <v>138</v>
      </c>
      <c r="N88" s="3">
        <v>76250</v>
      </c>
      <c r="O88" s="3">
        <v>10391</v>
      </c>
      <c r="P88" s="3" t="s">
        <v>35</v>
      </c>
      <c r="AA88" s="97"/>
      <c r="AF88" s="104"/>
    </row>
    <row r="89" spans="9:32">
      <c r="I89" s="3" t="s">
        <v>702</v>
      </c>
      <c r="J89" s="3" t="s">
        <v>703</v>
      </c>
      <c r="K89" s="3" t="s">
        <v>704</v>
      </c>
      <c r="L89" s="3" t="s">
        <v>272</v>
      </c>
      <c r="M89" s="3" t="s">
        <v>705</v>
      </c>
      <c r="N89" s="3">
        <v>76234</v>
      </c>
      <c r="O89" s="3">
        <v>11282</v>
      </c>
      <c r="P89" s="3" t="s">
        <v>152</v>
      </c>
      <c r="AA89" s="97"/>
      <c r="AF89" s="104"/>
    </row>
    <row r="90" spans="9:32">
      <c r="I90" s="3" t="s">
        <v>706</v>
      </c>
      <c r="J90" s="3" t="s">
        <v>707</v>
      </c>
      <c r="K90" s="3" t="s">
        <v>708</v>
      </c>
      <c r="L90" s="3" t="s">
        <v>368</v>
      </c>
      <c r="M90" s="3" t="s">
        <v>368</v>
      </c>
      <c r="N90" s="3">
        <v>88340</v>
      </c>
      <c r="O90" s="3">
        <v>10405</v>
      </c>
      <c r="P90" s="3" t="s">
        <v>181</v>
      </c>
      <c r="AA90" s="97"/>
      <c r="AF90" s="104"/>
    </row>
    <row r="91" spans="9:32">
      <c r="I91" s="3" t="s">
        <v>709</v>
      </c>
      <c r="J91" s="3" t="s">
        <v>710</v>
      </c>
      <c r="K91" s="3" t="s">
        <v>711</v>
      </c>
      <c r="L91" s="3" t="s">
        <v>168</v>
      </c>
      <c r="M91" s="3" t="s">
        <v>712</v>
      </c>
      <c r="N91" s="3">
        <v>80205</v>
      </c>
      <c r="O91" s="3">
        <v>10588</v>
      </c>
      <c r="P91" s="3" t="s">
        <v>90</v>
      </c>
      <c r="AA91" s="97"/>
      <c r="AF91" s="104"/>
    </row>
    <row r="92" spans="9:32">
      <c r="I92" s="3" t="s">
        <v>713</v>
      </c>
      <c r="J92" s="3" t="s">
        <v>714</v>
      </c>
      <c r="K92" s="3" t="s">
        <v>715</v>
      </c>
      <c r="L92" s="3" t="s">
        <v>40</v>
      </c>
      <c r="M92" s="3" t="s">
        <v>716</v>
      </c>
      <c r="N92" s="3">
        <v>72277</v>
      </c>
      <c r="O92" s="3">
        <v>11061</v>
      </c>
      <c r="P92" s="3" t="s">
        <v>42</v>
      </c>
      <c r="AA92" s="97"/>
      <c r="AF92" s="104"/>
    </row>
    <row r="93" spans="9:32">
      <c r="I93" s="3" t="s">
        <v>717</v>
      </c>
      <c r="J93" s="3" t="s">
        <v>718</v>
      </c>
      <c r="K93" s="3" t="s">
        <v>719</v>
      </c>
      <c r="L93" s="3" t="s">
        <v>376</v>
      </c>
      <c r="M93" s="3" t="s">
        <v>376</v>
      </c>
      <c r="N93" s="3">
        <v>71240</v>
      </c>
      <c r="O93" s="3">
        <v>10847</v>
      </c>
      <c r="P93" s="3" t="s">
        <v>195</v>
      </c>
      <c r="AA93" s="97"/>
      <c r="AF93" s="104"/>
    </row>
    <row r="94" spans="9:32">
      <c r="I94" s="3" t="s">
        <v>720</v>
      </c>
      <c r="J94" s="3" t="s">
        <v>721</v>
      </c>
      <c r="K94" s="3" t="s">
        <v>722</v>
      </c>
      <c r="L94" s="3" t="s">
        <v>306</v>
      </c>
      <c r="M94" s="3" t="s">
        <v>723</v>
      </c>
      <c r="N94" s="3">
        <v>72225</v>
      </c>
      <c r="O94" s="3">
        <v>11177</v>
      </c>
      <c r="P94" s="3" t="s">
        <v>81</v>
      </c>
      <c r="AA94" s="97"/>
      <c r="AF94" s="104"/>
    </row>
    <row r="95" spans="9:32">
      <c r="I95" s="3" t="s">
        <v>724</v>
      </c>
      <c r="J95" s="3" t="s">
        <v>725</v>
      </c>
      <c r="K95" s="3" t="s">
        <v>726</v>
      </c>
      <c r="L95" s="3" t="s">
        <v>159</v>
      </c>
      <c r="M95" s="3" t="s">
        <v>727</v>
      </c>
      <c r="N95" s="3">
        <v>72245</v>
      </c>
      <c r="O95" s="3">
        <v>10448</v>
      </c>
      <c r="P95" s="3" t="s">
        <v>81</v>
      </c>
      <c r="AA95" s="97"/>
      <c r="AF95" s="104"/>
    </row>
    <row r="96" spans="9:32">
      <c r="I96" s="3" t="s">
        <v>728</v>
      </c>
      <c r="J96" s="3" t="s">
        <v>729</v>
      </c>
      <c r="K96" s="3" t="s">
        <v>730</v>
      </c>
      <c r="L96" s="3" t="s">
        <v>40</v>
      </c>
      <c r="M96" s="3" t="s">
        <v>731</v>
      </c>
      <c r="N96" s="3">
        <v>72281</v>
      </c>
      <c r="O96" s="3">
        <v>11061</v>
      </c>
      <c r="P96" s="3" t="s">
        <v>42</v>
      </c>
      <c r="AA96" s="97"/>
      <c r="AF96" s="104"/>
    </row>
    <row r="97" spans="9:32">
      <c r="I97" s="3" t="s">
        <v>732</v>
      </c>
      <c r="J97" s="3" t="s">
        <v>733</v>
      </c>
      <c r="K97" s="3" t="s">
        <v>734</v>
      </c>
      <c r="L97" s="3" t="s">
        <v>252</v>
      </c>
      <c r="M97" s="3" t="s">
        <v>735</v>
      </c>
      <c r="N97" s="3">
        <v>88368</v>
      </c>
      <c r="O97" s="3">
        <v>11606</v>
      </c>
      <c r="P97" s="3" t="s">
        <v>136</v>
      </c>
      <c r="AA97" s="97"/>
      <c r="AF97" s="104"/>
    </row>
    <row r="98" spans="9:32">
      <c r="I98" s="3" t="s">
        <v>736</v>
      </c>
      <c r="J98" s="3" t="s">
        <v>737</v>
      </c>
      <c r="K98" s="3" t="s">
        <v>738</v>
      </c>
      <c r="L98" s="3" t="s">
        <v>494</v>
      </c>
      <c r="M98" s="3" t="s">
        <v>739</v>
      </c>
      <c r="N98" s="3">
        <v>88395</v>
      </c>
      <c r="O98" s="3">
        <v>10685</v>
      </c>
      <c r="P98" s="3" t="s">
        <v>136</v>
      </c>
      <c r="AA98" s="97"/>
      <c r="AF98" s="104"/>
    </row>
    <row r="99" spans="9:32">
      <c r="I99" s="3" t="s">
        <v>740</v>
      </c>
      <c r="J99" s="3" t="s">
        <v>741</v>
      </c>
      <c r="K99" s="3" t="s">
        <v>742</v>
      </c>
      <c r="L99" s="3" t="s">
        <v>283</v>
      </c>
      <c r="M99" s="3" t="s">
        <v>743</v>
      </c>
      <c r="N99" s="3">
        <v>75216</v>
      </c>
      <c r="O99" s="3">
        <v>11088</v>
      </c>
      <c r="P99" s="3" t="s">
        <v>35</v>
      </c>
      <c r="AA99" s="97"/>
      <c r="AF99" s="104"/>
    </row>
    <row r="100" spans="9:32">
      <c r="I100" s="3" t="s">
        <v>744</v>
      </c>
      <c r="J100" s="3" t="s">
        <v>745</v>
      </c>
      <c r="K100" s="3" t="s">
        <v>746</v>
      </c>
      <c r="L100" s="3" t="s">
        <v>494</v>
      </c>
      <c r="M100" s="3" t="s">
        <v>747</v>
      </c>
      <c r="N100" s="3">
        <v>88394</v>
      </c>
      <c r="O100" s="3">
        <v>10685</v>
      </c>
      <c r="P100" s="3" t="s">
        <v>136</v>
      </c>
      <c r="AA100" s="97"/>
      <c r="AF100" s="104"/>
    </row>
    <row r="101" spans="9:32">
      <c r="I101" s="3" t="s">
        <v>748</v>
      </c>
      <c r="J101" s="3" t="s">
        <v>749</v>
      </c>
      <c r="K101" s="3" t="s">
        <v>750</v>
      </c>
      <c r="L101" s="3" t="s">
        <v>214</v>
      </c>
      <c r="M101" s="3" t="s">
        <v>214</v>
      </c>
      <c r="N101" s="3">
        <v>71210</v>
      </c>
      <c r="O101" s="3">
        <v>11550</v>
      </c>
      <c r="P101" s="3" t="s">
        <v>195</v>
      </c>
      <c r="AA101" s="97"/>
      <c r="AF101" s="104"/>
    </row>
    <row r="102" spans="9:32">
      <c r="I102" s="3" t="s">
        <v>751</v>
      </c>
      <c r="J102" s="3" t="s">
        <v>752</v>
      </c>
      <c r="K102" s="3" t="s">
        <v>753</v>
      </c>
      <c r="L102" s="3" t="s">
        <v>391</v>
      </c>
      <c r="M102" s="3" t="s">
        <v>391</v>
      </c>
      <c r="N102" s="3">
        <v>71380</v>
      </c>
      <c r="O102" s="3">
        <v>10863</v>
      </c>
      <c r="P102" s="3" t="s">
        <v>195</v>
      </c>
      <c r="AA102" s="97"/>
      <c r="AF102" s="104"/>
    </row>
    <row r="103" spans="9:32">
      <c r="I103" s="3" t="s">
        <v>754</v>
      </c>
      <c r="J103" s="3" t="s">
        <v>755</v>
      </c>
      <c r="K103" s="3" t="s">
        <v>756</v>
      </c>
      <c r="L103" s="3" t="s">
        <v>106</v>
      </c>
      <c r="M103" s="3" t="s">
        <v>757</v>
      </c>
      <c r="N103" s="3">
        <v>73208</v>
      </c>
      <c r="O103" s="3">
        <v>11452</v>
      </c>
      <c r="P103" s="3" t="s">
        <v>167</v>
      </c>
      <c r="AA103" s="97"/>
      <c r="AF103" s="104"/>
    </row>
    <row r="104" spans="9:32">
      <c r="I104" s="3" t="s">
        <v>758</v>
      </c>
      <c r="J104" s="3" t="s">
        <v>759</v>
      </c>
      <c r="K104" s="3" t="s">
        <v>760</v>
      </c>
      <c r="L104" s="3" t="s">
        <v>54</v>
      </c>
      <c r="M104" s="3" t="s">
        <v>761</v>
      </c>
      <c r="N104" s="3">
        <v>77208</v>
      </c>
      <c r="O104" s="3">
        <v>10049</v>
      </c>
      <c r="P104" s="3" t="s">
        <v>57</v>
      </c>
      <c r="AA104" s="97"/>
      <c r="AF104" s="104"/>
    </row>
    <row r="105" spans="9:32">
      <c r="I105" s="3" t="s">
        <v>762</v>
      </c>
      <c r="J105" s="3" t="s">
        <v>763</v>
      </c>
      <c r="K105" s="3" t="s">
        <v>764</v>
      </c>
      <c r="L105" s="3" t="s">
        <v>398</v>
      </c>
      <c r="M105" s="3" t="s">
        <v>398</v>
      </c>
      <c r="N105" s="3">
        <v>88420</v>
      </c>
      <c r="O105" s="3">
        <v>10421</v>
      </c>
      <c r="P105" s="3" t="s">
        <v>136</v>
      </c>
      <c r="AA105" s="97"/>
      <c r="AF105" s="104"/>
    </row>
    <row r="106" spans="9:32">
      <c r="I106" s="3" t="s">
        <v>765</v>
      </c>
      <c r="J106" s="3" t="s">
        <v>766</v>
      </c>
      <c r="K106" s="3" t="s">
        <v>767</v>
      </c>
      <c r="L106" s="3" t="s">
        <v>406</v>
      </c>
      <c r="M106" s="3" t="s">
        <v>406</v>
      </c>
      <c r="N106" s="3">
        <v>70101</v>
      </c>
      <c r="O106" s="3">
        <v>11487</v>
      </c>
      <c r="P106" s="3" t="s">
        <v>42</v>
      </c>
      <c r="AA106" s="97"/>
      <c r="AF106" s="104"/>
    </row>
    <row r="107" spans="9:32">
      <c r="I107" s="3" t="s">
        <v>768</v>
      </c>
      <c r="J107" s="3" t="s">
        <v>769</v>
      </c>
      <c r="K107" s="3" t="s">
        <v>770</v>
      </c>
      <c r="L107" s="3" t="s">
        <v>315</v>
      </c>
      <c r="M107" s="3" t="s">
        <v>771</v>
      </c>
      <c r="N107" s="3">
        <v>72215</v>
      </c>
      <c r="O107" s="3">
        <v>11185</v>
      </c>
      <c r="P107" s="3" t="s">
        <v>81</v>
      </c>
      <c r="AA107" s="97"/>
      <c r="AF107" s="104"/>
    </row>
    <row r="108" spans="9:32">
      <c r="I108" s="3" t="s">
        <v>772</v>
      </c>
      <c r="J108" s="3" t="s">
        <v>773</v>
      </c>
      <c r="K108" s="3" t="s">
        <v>774</v>
      </c>
      <c r="L108" s="3" t="s">
        <v>271</v>
      </c>
      <c r="M108" s="3" t="s">
        <v>775</v>
      </c>
      <c r="N108" s="3">
        <v>88224</v>
      </c>
      <c r="O108" s="3">
        <v>10570</v>
      </c>
      <c r="P108" s="3" t="s">
        <v>181</v>
      </c>
      <c r="AA108" s="97"/>
      <c r="AF108" s="104"/>
    </row>
    <row r="109" spans="9:32">
      <c r="I109" s="3" t="s">
        <v>776</v>
      </c>
      <c r="J109" s="3" t="s">
        <v>777</v>
      </c>
      <c r="K109" s="3" t="s">
        <v>778</v>
      </c>
      <c r="L109" s="3" t="s">
        <v>596</v>
      </c>
      <c r="M109" s="3" t="s">
        <v>779</v>
      </c>
      <c r="N109" s="3">
        <v>74264</v>
      </c>
      <c r="O109" s="3">
        <v>11045</v>
      </c>
      <c r="P109" s="3" t="s">
        <v>81</v>
      </c>
      <c r="AA109" s="97"/>
      <c r="AF109" s="104"/>
    </row>
    <row r="110" spans="9:32">
      <c r="I110" s="3" t="s">
        <v>780</v>
      </c>
      <c r="J110" s="3" t="s">
        <v>781</v>
      </c>
      <c r="K110" s="3" t="s">
        <v>782</v>
      </c>
      <c r="L110" s="3" t="s">
        <v>73</v>
      </c>
      <c r="M110" s="3" t="s">
        <v>783</v>
      </c>
      <c r="N110" s="3">
        <v>77241</v>
      </c>
      <c r="O110" s="3">
        <v>11428</v>
      </c>
      <c r="P110" s="3" t="s">
        <v>57</v>
      </c>
      <c r="AA110" s="97"/>
      <c r="AF110" s="104"/>
    </row>
    <row r="111" spans="9:32">
      <c r="I111" s="3" t="s">
        <v>784</v>
      </c>
      <c r="J111" s="3" t="s">
        <v>785</v>
      </c>
      <c r="K111" s="3" t="s">
        <v>786</v>
      </c>
      <c r="L111" s="3" t="s">
        <v>154</v>
      </c>
      <c r="M111" s="3" t="s">
        <v>787</v>
      </c>
      <c r="N111" s="3">
        <v>72264</v>
      </c>
      <c r="O111" s="3">
        <v>10219</v>
      </c>
      <c r="P111" s="3" t="s">
        <v>42</v>
      </c>
      <c r="AA111" s="97"/>
      <c r="AF111" s="104"/>
    </row>
    <row r="112" spans="9:32">
      <c r="I112" s="3" t="s">
        <v>788</v>
      </c>
      <c r="J112" s="3" t="s">
        <v>789</v>
      </c>
      <c r="K112" s="3" t="s">
        <v>790</v>
      </c>
      <c r="L112" s="3" t="s">
        <v>159</v>
      </c>
      <c r="M112" s="3" t="s">
        <v>159</v>
      </c>
      <c r="N112" s="3">
        <v>72240</v>
      </c>
      <c r="O112" s="3">
        <v>10448</v>
      </c>
      <c r="P112" s="3" t="s">
        <v>81</v>
      </c>
      <c r="AA112" s="97"/>
      <c r="AF112" s="104"/>
    </row>
    <row r="113" spans="9:32">
      <c r="I113" s="3" t="s">
        <v>791</v>
      </c>
      <c r="J113" s="3" t="s">
        <v>792</v>
      </c>
      <c r="L113" s="3" t="s">
        <v>421</v>
      </c>
      <c r="M113" s="3" t="s">
        <v>421</v>
      </c>
      <c r="N113" s="3">
        <v>75260</v>
      </c>
      <c r="O113" s="3">
        <v>11495</v>
      </c>
      <c r="P113" s="3" t="s">
        <v>35</v>
      </c>
      <c r="AA113" s="97"/>
      <c r="AF113" s="104"/>
    </row>
    <row r="114" spans="9:32">
      <c r="I114" s="3" t="s">
        <v>793</v>
      </c>
      <c r="J114" s="3" t="s">
        <v>794</v>
      </c>
      <c r="L114" s="3" t="s">
        <v>54</v>
      </c>
      <c r="M114" s="3" t="s">
        <v>795</v>
      </c>
      <c r="N114" s="3">
        <v>77204</v>
      </c>
      <c r="O114" s="3">
        <v>10049</v>
      </c>
      <c r="P114" s="3" t="s">
        <v>57</v>
      </c>
      <c r="AA114" s="97"/>
      <c r="AF114" s="104"/>
    </row>
    <row r="115" spans="9:32">
      <c r="I115" s="3" t="s">
        <v>796</v>
      </c>
      <c r="J115" s="3" t="s">
        <v>797</v>
      </c>
      <c r="L115" s="3" t="s">
        <v>154</v>
      </c>
      <c r="M115" s="3" t="s">
        <v>798</v>
      </c>
      <c r="N115" s="3">
        <v>72265</v>
      </c>
      <c r="O115" s="3">
        <v>10219</v>
      </c>
      <c r="P115" s="3" t="s">
        <v>42</v>
      </c>
      <c r="AA115" s="97"/>
      <c r="AF115" s="104"/>
    </row>
    <row r="116" spans="9:32">
      <c r="I116" s="3" t="s">
        <v>799</v>
      </c>
      <c r="J116" s="3" t="s">
        <v>800</v>
      </c>
      <c r="L116" s="3" t="s">
        <v>139</v>
      </c>
      <c r="M116" s="3" t="s">
        <v>801</v>
      </c>
      <c r="N116" s="3">
        <v>70235</v>
      </c>
      <c r="O116" s="3">
        <v>10197</v>
      </c>
      <c r="P116" s="3" t="s">
        <v>42</v>
      </c>
      <c r="AA116" s="97"/>
      <c r="AF116" s="104"/>
    </row>
    <row r="117" spans="9:32">
      <c r="I117" s="3" t="s">
        <v>802</v>
      </c>
      <c r="J117" s="3" t="s">
        <v>803</v>
      </c>
      <c r="L117" s="3" t="s">
        <v>40</v>
      </c>
      <c r="M117" s="3" t="s">
        <v>804</v>
      </c>
      <c r="N117" s="3">
        <v>72284</v>
      </c>
      <c r="O117" s="3">
        <v>11061</v>
      </c>
      <c r="P117" s="3" t="s">
        <v>42</v>
      </c>
      <c r="AA117" s="97"/>
      <c r="AF117" s="104"/>
    </row>
    <row r="118" spans="9:32">
      <c r="I118" s="3" t="s">
        <v>805</v>
      </c>
      <c r="J118" s="3" t="s">
        <v>806</v>
      </c>
      <c r="L118" s="3" t="s">
        <v>602</v>
      </c>
      <c r="M118" s="3" t="s">
        <v>807</v>
      </c>
      <c r="N118" s="3">
        <v>80246</v>
      </c>
      <c r="O118" s="3">
        <v>10308</v>
      </c>
      <c r="P118" s="3" t="s">
        <v>90</v>
      </c>
      <c r="AA118" s="97"/>
      <c r="AF118" s="104"/>
    </row>
    <row r="119" spans="9:32">
      <c r="I119" s="3" t="s">
        <v>808</v>
      </c>
      <c r="J119" s="3" t="s">
        <v>809</v>
      </c>
      <c r="L119" s="3" t="s">
        <v>128</v>
      </c>
      <c r="M119" s="3" t="s">
        <v>128</v>
      </c>
      <c r="N119" s="3">
        <v>71250</v>
      </c>
      <c r="O119" s="3">
        <v>10472</v>
      </c>
      <c r="P119" s="3" t="s">
        <v>42</v>
      </c>
      <c r="AA119" s="97"/>
      <c r="AF119" s="104"/>
    </row>
    <row r="120" spans="9:32">
      <c r="I120" s="3" t="s">
        <v>810</v>
      </c>
      <c r="J120" s="3" t="s">
        <v>811</v>
      </c>
      <c r="L120" s="3" t="s">
        <v>283</v>
      </c>
      <c r="M120" s="3" t="s">
        <v>812</v>
      </c>
      <c r="N120" s="3">
        <v>75211</v>
      </c>
      <c r="O120" s="3">
        <v>11088</v>
      </c>
      <c r="P120" s="3" t="s">
        <v>35</v>
      </c>
      <c r="AA120" s="97"/>
      <c r="AF120" s="104"/>
    </row>
    <row r="121" spans="9:32">
      <c r="I121" s="3" t="s">
        <v>813</v>
      </c>
      <c r="J121" s="3" t="s">
        <v>814</v>
      </c>
      <c r="L121" s="3" t="s">
        <v>435</v>
      </c>
      <c r="M121" s="3" t="s">
        <v>435</v>
      </c>
      <c r="N121" s="3">
        <v>75280</v>
      </c>
      <c r="O121" s="3">
        <v>10499</v>
      </c>
      <c r="P121" s="3" t="s">
        <v>35</v>
      </c>
      <c r="AA121" s="97"/>
      <c r="AF121" s="104"/>
    </row>
    <row r="122" spans="9:32">
      <c r="I122" s="3" t="s">
        <v>815</v>
      </c>
      <c r="J122" s="3" t="s">
        <v>816</v>
      </c>
      <c r="L122" s="3" t="s">
        <v>196</v>
      </c>
      <c r="M122" s="3" t="s">
        <v>817</v>
      </c>
      <c r="N122" s="3">
        <v>88324</v>
      </c>
      <c r="O122" s="3">
        <v>10626</v>
      </c>
      <c r="P122" s="3" t="s">
        <v>181</v>
      </c>
      <c r="AA122" s="97"/>
      <c r="AF122" s="104"/>
    </row>
    <row r="123" spans="9:32">
      <c r="I123" s="3" t="s">
        <v>818</v>
      </c>
      <c r="J123" s="3" t="s">
        <v>819</v>
      </c>
      <c r="L123" s="3" t="s">
        <v>235</v>
      </c>
      <c r="M123" s="3" t="s">
        <v>820</v>
      </c>
      <c r="N123" s="3">
        <v>74207</v>
      </c>
      <c r="O123" s="3">
        <v>11258</v>
      </c>
      <c r="P123" s="3" t="s">
        <v>35</v>
      </c>
      <c r="AA123" s="97"/>
      <c r="AF123" s="104"/>
    </row>
    <row r="124" spans="9:32">
      <c r="I124" s="3" t="s">
        <v>821</v>
      </c>
      <c r="J124" s="3" t="s">
        <v>822</v>
      </c>
      <c r="L124" s="3" t="s">
        <v>442</v>
      </c>
      <c r="M124" s="3" t="s">
        <v>442</v>
      </c>
      <c r="N124" s="3">
        <v>79280</v>
      </c>
      <c r="O124" s="3">
        <v>11509</v>
      </c>
      <c r="P124" s="3" t="s">
        <v>57</v>
      </c>
      <c r="AA124" s="97"/>
      <c r="AF124" s="104"/>
    </row>
    <row r="125" spans="9:32">
      <c r="I125" s="3" t="s">
        <v>823</v>
      </c>
      <c r="J125" s="3" t="s">
        <v>824</v>
      </c>
      <c r="L125" s="3" t="s">
        <v>271</v>
      </c>
      <c r="M125" s="3" t="s">
        <v>825</v>
      </c>
      <c r="N125" s="3">
        <v>88226</v>
      </c>
      <c r="O125" s="3">
        <v>10570</v>
      </c>
      <c r="P125" s="3" t="s">
        <v>181</v>
      </c>
      <c r="AA125" s="97"/>
      <c r="AF125" s="104"/>
    </row>
    <row r="126" spans="9:32">
      <c r="I126" s="3" t="s">
        <v>826</v>
      </c>
      <c r="J126" s="3" t="s">
        <v>827</v>
      </c>
      <c r="L126" s="3" t="s">
        <v>602</v>
      </c>
      <c r="M126" s="3" t="s">
        <v>828</v>
      </c>
      <c r="N126" s="3">
        <v>80244</v>
      </c>
      <c r="O126" s="3">
        <v>10308</v>
      </c>
      <c r="P126" s="3" t="s">
        <v>90</v>
      </c>
      <c r="AA126" s="97"/>
      <c r="AF126" s="104"/>
    </row>
    <row r="127" spans="9:32">
      <c r="I127" s="3" t="s">
        <v>829</v>
      </c>
      <c r="J127" s="3" t="s">
        <v>830</v>
      </c>
      <c r="L127" s="3" t="s">
        <v>153</v>
      </c>
      <c r="M127" s="3" t="s">
        <v>153</v>
      </c>
      <c r="N127" s="3">
        <v>88400</v>
      </c>
      <c r="O127" s="3">
        <v>10529</v>
      </c>
      <c r="P127" s="3" t="s">
        <v>136</v>
      </c>
      <c r="AA127" s="97"/>
      <c r="AF127" s="104"/>
    </row>
    <row r="128" spans="9:32">
      <c r="I128" s="3" t="s">
        <v>831</v>
      </c>
      <c r="J128" s="3" t="s">
        <v>832</v>
      </c>
      <c r="L128" s="3" t="s">
        <v>169</v>
      </c>
      <c r="M128" s="3" t="s">
        <v>833</v>
      </c>
      <c r="N128" s="3">
        <v>77249</v>
      </c>
      <c r="O128" s="3">
        <v>11240</v>
      </c>
      <c r="P128" s="3" t="s">
        <v>57</v>
      </c>
      <c r="AA128" s="97"/>
      <c r="AF128" s="104"/>
    </row>
    <row r="129" spans="9:32">
      <c r="I129" s="3" t="s">
        <v>834</v>
      </c>
      <c r="J129" s="3" t="s">
        <v>835</v>
      </c>
      <c r="L129" s="3" t="s">
        <v>482</v>
      </c>
      <c r="M129" s="3" t="s">
        <v>836</v>
      </c>
      <c r="N129" s="3">
        <v>74253</v>
      </c>
      <c r="O129" s="3">
        <v>10634</v>
      </c>
      <c r="P129" s="3" t="s">
        <v>81</v>
      </c>
      <c r="AA129" s="97"/>
      <c r="AF129" s="104"/>
    </row>
    <row r="130" spans="9:32">
      <c r="I130" s="3" t="s">
        <v>837</v>
      </c>
      <c r="J130" s="3" t="s">
        <v>838</v>
      </c>
      <c r="L130" s="3" t="s">
        <v>222</v>
      </c>
      <c r="M130" s="3" t="s">
        <v>839</v>
      </c>
      <c r="N130" s="3">
        <v>76276</v>
      </c>
      <c r="O130" s="3">
        <v>11533</v>
      </c>
      <c r="P130" s="3" t="s">
        <v>152</v>
      </c>
      <c r="AA130" s="97"/>
      <c r="AF130" s="104"/>
    </row>
    <row r="131" spans="9:32">
      <c r="I131" s="3" t="s">
        <v>840</v>
      </c>
      <c r="J131" s="3" t="s">
        <v>841</v>
      </c>
      <c r="L131" s="3" t="s">
        <v>306</v>
      </c>
      <c r="M131" s="3" t="s">
        <v>842</v>
      </c>
      <c r="N131" s="3">
        <v>72226</v>
      </c>
      <c r="O131" s="3">
        <v>11177</v>
      </c>
      <c r="P131" s="3" t="s">
        <v>81</v>
      </c>
      <c r="AA131" s="97"/>
      <c r="AF131" s="104"/>
    </row>
    <row r="132" spans="9:32">
      <c r="I132" s="3" t="s">
        <v>843</v>
      </c>
      <c r="J132" s="3" t="s">
        <v>844</v>
      </c>
      <c r="L132" s="3" t="s">
        <v>159</v>
      </c>
      <c r="M132" s="3" t="s">
        <v>845</v>
      </c>
      <c r="N132" s="3">
        <v>72244</v>
      </c>
      <c r="O132" s="3">
        <v>10448</v>
      </c>
      <c r="P132" s="3" t="s">
        <v>81</v>
      </c>
      <c r="AA132" s="97"/>
      <c r="AF132" s="104"/>
    </row>
    <row r="133" spans="9:32">
      <c r="I133" s="3" t="s">
        <v>846</v>
      </c>
      <c r="J133" s="3" t="s">
        <v>847</v>
      </c>
      <c r="L133" s="3" t="s">
        <v>442</v>
      </c>
      <c r="M133" s="3" t="s">
        <v>848</v>
      </c>
      <c r="N133" s="3">
        <v>79284</v>
      </c>
      <c r="O133" s="3">
        <v>11509</v>
      </c>
      <c r="P133" s="3" t="s">
        <v>57</v>
      </c>
      <c r="AA133" s="97"/>
      <c r="AF133" s="104"/>
    </row>
    <row r="134" spans="9:32">
      <c r="I134" s="3" t="s">
        <v>849</v>
      </c>
      <c r="J134" s="3" t="s">
        <v>850</v>
      </c>
      <c r="L134" s="3" t="s">
        <v>457</v>
      </c>
      <c r="M134" s="3" t="s">
        <v>457</v>
      </c>
      <c r="N134" s="3">
        <v>71260</v>
      </c>
      <c r="O134" s="3">
        <v>10545</v>
      </c>
      <c r="P134" s="3" t="s">
        <v>42</v>
      </c>
      <c r="AA134" s="97"/>
      <c r="AF134" s="104"/>
    </row>
    <row r="135" spans="9:32">
      <c r="I135" s="3" t="s">
        <v>851</v>
      </c>
      <c r="J135" s="3" t="s">
        <v>852</v>
      </c>
      <c r="L135" s="3" t="s">
        <v>93</v>
      </c>
      <c r="M135" s="3" t="s">
        <v>853</v>
      </c>
      <c r="N135" s="3">
        <v>77253</v>
      </c>
      <c r="O135" s="3">
        <v>11436</v>
      </c>
      <c r="P135" s="3" t="s">
        <v>57</v>
      </c>
      <c r="AA135" s="97"/>
      <c r="AF135" s="104"/>
    </row>
    <row r="136" spans="9:32">
      <c r="I136" s="3" t="s">
        <v>854</v>
      </c>
      <c r="J136" s="3" t="s">
        <v>855</v>
      </c>
      <c r="L136" s="3" t="s">
        <v>187</v>
      </c>
      <c r="M136" s="3" t="s">
        <v>856</v>
      </c>
      <c r="N136" s="3">
        <v>88203</v>
      </c>
      <c r="O136" s="3">
        <v>11410</v>
      </c>
      <c r="P136" s="3" t="s">
        <v>136</v>
      </c>
      <c r="AA136" s="97"/>
      <c r="AF136" s="104"/>
    </row>
    <row r="137" spans="9:32">
      <c r="I137" s="3" t="s">
        <v>857</v>
      </c>
      <c r="J137" s="3" t="s">
        <v>858</v>
      </c>
      <c r="L137" s="3" t="s">
        <v>54</v>
      </c>
      <c r="M137" s="3" t="s">
        <v>859</v>
      </c>
      <c r="N137" s="3">
        <v>77206</v>
      </c>
      <c r="O137" s="3">
        <v>10049</v>
      </c>
      <c r="P137" s="3" t="s">
        <v>57</v>
      </c>
      <c r="AA137" s="97"/>
      <c r="AF137" s="104"/>
    </row>
    <row r="138" spans="9:32">
      <c r="I138" s="3" t="s">
        <v>860</v>
      </c>
      <c r="J138" s="3" t="s">
        <v>861</v>
      </c>
      <c r="L138" s="3" t="s">
        <v>462</v>
      </c>
      <c r="M138" s="3" t="s">
        <v>462</v>
      </c>
      <c r="N138" s="3">
        <v>80320</v>
      </c>
      <c r="O138" s="3">
        <v>11517</v>
      </c>
      <c r="P138" s="3" t="s">
        <v>90</v>
      </c>
      <c r="AA138" s="97"/>
      <c r="AF138" s="104"/>
    </row>
    <row r="139" spans="9:32">
      <c r="I139" s="3" t="s">
        <v>862</v>
      </c>
      <c r="J139" s="3" t="s">
        <v>863</v>
      </c>
      <c r="L139" s="3" t="s">
        <v>128</v>
      </c>
      <c r="M139" s="3" t="s">
        <v>864</v>
      </c>
      <c r="N139" s="3">
        <v>71254</v>
      </c>
      <c r="O139" s="3">
        <v>10472</v>
      </c>
      <c r="P139" s="3" t="s">
        <v>42</v>
      </c>
      <c r="AA139" s="97"/>
      <c r="AF139" s="104"/>
    </row>
    <row r="140" spans="9:32">
      <c r="I140" s="3" t="s">
        <v>865</v>
      </c>
      <c r="J140" s="3" t="s">
        <v>866</v>
      </c>
      <c r="L140" s="3" t="s">
        <v>283</v>
      </c>
      <c r="M140" s="3" t="s">
        <v>867</v>
      </c>
      <c r="N140" s="3">
        <v>75213</v>
      </c>
      <c r="O140" s="3">
        <v>11088</v>
      </c>
      <c r="P140" s="3" t="s">
        <v>35</v>
      </c>
      <c r="AA140" s="97"/>
      <c r="AF140" s="104"/>
    </row>
    <row r="141" spans="9:32">
      <c r="I141" s="3" t="s">
        <v>868</v>
      </c>
      <c r="J141" s="3" t="s">
        <v>869</v>
      </c>
      <c r="L141" s="3" t="s">
        <v>168</v>
      </c>
      <c r="M141" s="3" t="s">
        <v>870</v>
      </c>
      <c r="N141" s="3">
        <v>80204</v>
      </c>
      <c r="O141" s="3">
        <v>10588</v>
      </c>
      <c r="P141" s="3" t="s">
        <v>90</v>
      </c>
      <c r="AA141" s="97"/>
      <c r="AF141" s="104"/>
    </row>
    <row r="142" spans="9:32">
      <c r="I142" s="3" t="s">
        <v>871</v>
      </c>
      <c r="J142" s="3" t="s">
        <v>872</v>
      </c>
      <c r="L142" s="3" t="s">
        <v>168</v>
      </c>
      <c r="M142" s="3" t="s">
        <v>168</v>
      </c>
      <c r="N142" s="3">
        <v>80101</v>
      </c>
      <c r="O142" s="3">
        <v>10588</v>
      </c>
      <c r="P142" s="3" t="s">
        <v>90</v>
      </c>
      <c r="AA142" s="97"/>
      <c r="AF142" s="104"/>
    </row>
    <row r="143" spans="9:32">
      <c r="I143" s="3" t="s">
        <v>873</v>
      </c>
      <c r="J143" s="3" t="s">
        <v>874</v>
      </c>
      <c r="L143" s="3" t="s">
        <v>182</v>
      </c>
      <c r="M143" s="3" t="s">
        <v>182</v>
      </c>
      <c r="N143" s="3">
        <v>75300</v>
      </c>
      <c r="O143" s="3">
        <v>10600</v>
      </c>
      <c r="P143" s="3" t="s">
        <v>35</v>
      </c>
      <c r="AA143" s="97"/>
      <c r="AF143" s="104"/>
    </row>
    <row r="144" spans="9:32">
      <c r="I144" s="3" t="s">
        <v>875</v>
      </c>
      <c r="J144" s="3" t="s">
        <v>876</v>
      </c>
      <c r="L144" s="3" t="s">
        <v>122</v>
      </c>
      <c r="M144" s="3" t="s">
        <v>877</v>
      </c>
      <c r="N144" s="3">
        <v>75327</v>
      </c>
      <c r="O144" s="3">
        <v>11479</v>
      </c>
      <c r="P144" s="3" t="s">
        <v>35</v>
      </c>
      <c r="AA144" s="97"/>
      <c r="AF144" s="104"/>
    </row>
    <row r="145" spans="9:32">
      <c r="I145" s="3" t="s">
        <v>878</v>
      </c>
      <c r="J145" s="3" t="s">
        <v>879</v>
      </c>
      <c r="L145" s="3" t="s">
        <v>168</v>
      </c>
      <c r="M145" s="3" t="s">
        <v>880</v>
      </c>
      <c r="N145" s="3">
        <v>80203</v>
      </c>
      <c r="O145" s="3">
        <v>10588</v>
      </c>
      <c r="P145" s="3" t="s">
        <v>90</v>
      </c>
      <c r="AA145" s="97"/>
      <c r="AF145" s="104"/>
    </row>
    <row r="146" spans="9:32">
      <c r="I146" s="3" t="s">
        <v>881</v>
      </c>
      <c r="J146" s="3" t="s">
        <v>882</v>
      </c>
      <c r="L146" s="3" t="s">
        <v>541</v>
      </c>
      <c r="M146" s="3" t="s">
        <v>883</v>
      </c>
      <c r="N146" s="3">
        <v>79267</v>
      </c>
      <c r="O146" s="3">
        <v>11541</v>
      </c>
      <c r="P146" s="3" t="s">
        <v>57</v>
      </c>
      <c r="AA146" s="97"/>
      <c r="AF146" s="104"/>
    </row>
    <row r="147" spans="9:32">
      <c r="I147" s="3" t="s">
        <v>884</v>
      </c>
      <c r="J147" s="3" t="s">
        <v>885</v>
      </c>
      <c r="L147" s="3" t="s">
        <v>283</v>
      </c>
      <c r="M147" s="3" t="s">
        <v>886</v>
      </c>
      <c r="N147" s="3">
        <v>75214</v>
      </c>
      <c r="O147" s="3">
        <v>11088</v>
      </c>
      <c r="P147" s="3" t="s">
        <v>35</v>
      </c>
      <c r="AA147" s="97"/>
      <c r="AF147" s="104"/>
    </row>
    <row r="148" spans="9:32">
      <c r="I148" s="3" t="s">
        <v>887</v>
      </c>
      <c r="J148" s="3" t="s">
        <v>888</v>
      </c>
      <c r="L148" s="3" t="s">
        <v>196</v>
      </c>
      <c r="M148" s="3" t="s">
        <v>196</v>
      </c>
      <c r="N148" s="3">
        <v>88320</v>
      </c>
      <c r="O148" s="3">
        <v>10626</v>
      </c>
      <c r="P148" s="3" t="s">
        <v>181</v>
      </c>
      <c r="AA148" s="97"/>
      <c r="AF148" s="104"/>
    </row>
    <row r="149" spans="9:32">
      <c r="I149" s="3" t="s">
        <v>889</v>
      </c>
      <c r="J149" s="3" t="s">
        <v>890</v>
      </c>
      <c r="L149" s="3" t="s">
        <v>271</v>
      </c>
      <c r="M149" s="3" t="s">
        <v>891</v>
      </c>
      <c r="N149" s="3">
        <v>88223</v>
      </c>
      <c r="O149" s="3">
        <v>10570</v>
      </c>
      <c r="P149" s="3" t="s">
        <v>181</v>
      </c>
      <c r="AA149" s="97"/>
      <c r="AF149" s="104"/>
    </row>
    <row r="150" spans="9:32">
      <c r="I150" s="3" t="s">
        <v>892</v>
      </c>
      <c r="J150" s="3" t="s">
        <v>893</v>
      </c>
      <c r="L150" s="3" t="s">
        <v>482</v>
      </c>
      <c r="M150" s="3" t="s">
        <v>482</v>
      </c>
      <c r="N150" s="3">
        <v>74250</v>
      </c>
      <c r="O150" s="3">
        <v>10634</v>
      </c>
      <c r="P150" s="3" t="s">
        <v>81</v>
      </c>
      <c r="AA150" s="97"/>
      <c r="AF150" s="104"/>
    </row>
    <row r="151" spans="9:32">
      <c r="I151" s="3" t="s">
        <v>894</v>
      </c>
      <c r="J151" s="3" t="s">
        <v>895</v>
      </c>
      <c r="L151" s="3" t="s">
        <v>634</v>
      </c>
      <c r="M151" s="3" t="s">
        <v>896</v>
      </c>
      <c r="N151" s="3">
        <v>77235</v>
      </c>
      <c r="O151" s="3">
        <v>11118</v>
      </c>
      <c r="P151" s="3" t="s">
        <v>57</v>
      </c>
      <c r="AA151" s="97"/>
      <c r="AF151" s="104"/>
    </row>
    <row r="152" spans="9:32">
      <c r="I152" s="3" t="s">
        <v>897</v>
      </c>
      <c r="J152" s="3" t="s">
        <v>898</v>
      </c>
      <c r="L152" s="3" t="s">
        <v>122</v>
      </c>
      <c r="M152" s="3" t="s">
        <v>899</v>
      </c>
      <c r="N152" s="3">
        <v>75326</v>
      </c>
      <c r="O152" s="3">
        <v>11479</v>
      </c>
      <c r="P152" s="3" t="s">
        <v>35</v>
      </c>
      <c r="AA152" s="97"/>
      <c r="AF152" s="104"/>
    </row>
    <row r="153" spans="9:32">
      <c r="I153" s="3" t="s">
        <v>900</v>
      </c>
      <c r="J153" s="3" t="s">
        <v>901</v>
      </c>
      <c r="L153" s="3" t="s">
        <v>222</v>
      </c>
      <c r="M153" s="3" t="s">
        <v>902</v>
      </c>
      <c r="N153" s="3">
        <v>76271</v>
      </c>
      <c r="O153" s="3">
        <v>11533</v>
      </c>
      <c r="P153" s="3" t="s">
        <v>152</v>
      </c>
      <c r="AA153" s="97"/>
      <c r="AF153" s="104"/>
    </row>
    <row r="154" spans="9:32">
      <c r="I154" s="3" t="s">
        <v>903</v>
      </c>
      <c r="J154" s="3" t="s">
        <v>904</v>
      </c>
      <c r="L154" s="3" t="s">
        <v>144</v>
      </c>
      <c r="M154" s="3" t="s">
        <v>905</v>
      </c>
      <c r="N154" s="3">
        <v>88266</v>
      </c>
      <c r="O154" s="3">
        <v>10260</v>
      </c>
      <c r="P154" s="3" t="s">
        <v>136</v>
      </c>
      <c r="AA154" s="97"/>
      <c r="AF154" s="104"/>
    </row>
    <row r="155" spans="9:32">
      <c r="I155" s="3" t="s">
        <v>906</v>
      </c>
      <c r="J155" s="3" t="s">
        <v>907</v>
      </c>
      <c r="L155" s="3" t="s">
        <v>40</v>
      </c>
      <c r="M155" s="3" t="s">
        <v>908</v>
      </c>
      <c r="N155" s="3">
        <v>72282</v>
      </c>
      <c r="O155" s="3">
        <v>11061</v>
      </c>
      <c r="P155" s="3" t="s">
        <v>42</v>
      </c>
      <c r="AA155" s="97"/>
      <c r="AF155" s="104"/>
    </row>
    <row r="156" spans="9:32">
      <c r="I156" s="3" t="s">
        <v>909</v>
      </c>
      <c r="J156" s="3" t="s">
        <v>910</v>
      </c>
      <c r="L156" s="3" t="s">
        <v>602</v>
      </c>
      <c r="M156" s="3" t="s">
        <v>911</v>
      </c>
      <c r="N156" s="3">
        <v>80243</v>
      </c>
      <c r="O156" s="3">
        <v>10308</v>
      </c>
      <c r="P156" s="3" t="s">
        <v>90</v>
      </c>
      <c r="AA156" s="97"/>
      <c r="AF156" s="104"/>
    </row>
    <row r="157" spans="9:32">
      <c r="I157" s="3" t="s">
        <v>912</v>
      </c>
      <c r="J157" s="3" t="s">
        <v>913</v>
      </c>
      <c r="L157" s="3" t="s">
        <v>122</v>
      </c>
      <c r="M157" s="3" t="s">
        <v>914</v>
      </c>
      <c r="N157" s="3">
        <v>75329</v>
      </c>
      <c r="O157" s="3">
        <v>11479</v>
      </c>
      <c r="P157" s="3" t="s">
        <v>35</v>
      </c>
      <c r="AA157" s="97"/>
      <c r="AF157" s="104"/>
    </row>
    <row r="158" spans="9:32">
      <c r="I158" s="3" t="s">
        <v>915</v>
      </c>
      <c r="J158" s="3" t="s">
        <v>916</v>
      </c>
      <c r="L158" s="3" t="s">
        <v>187</v>
      </c>
      <c r="M158" s="3" t="s">
        <v>187</v>
      </c>
      <c r="N158" s="3">
        <v>88000</v>
      </c>
      <c r="O158" s="3">
        <v>11410</v>
      </c>
      <c r="P158" s="3" t="s">
        <v>136</v>
      </c>
      <c r="AA158" s="97"/>
      <c r="AF158" s="104"/>
    </row>
    <row r="159" spans="9:32">
      <c r="I159" s="3" t="s">
        <v>917</v>
      </c>
      <c r="J159" s="3" t="s">
        <v>918</v>
      </c>
      <c r="L159" s="3" t="s">
        <v>283</v>
      </c>
      <c r="M159" s="3" t="s">
        <v>919</v>
      </c>
      <c r="N159" s="3">
        <v>75212</v>
      </c>
      <c r="O159" s="3">
        <v>11088</v>
      </c>
      <c r="P159" s="3" t="s">
        <v>35</v>
      </c>
      <c r="AA159" s="97"/>
      <c r="AF159" s="104"/>
    </row>
    <row r="160" spans="9:32">
      <c r="I160" s="3" t="s">
        <v>920</v>
      </c>
      <c r="J160" s="3" t="s">
        <v>921</v>
      </c>
      <c r="L160" s="3" t="s">
        <v>106</v>
      </c>
      <c r="M160" s="3" t="s">
        <v>922</v>
      </c>
      <c r="N160" s="3">
        <v>73206</v>
      </c>
      <c r="O160" s="3">
        <v>11452</v>
      </c>
      <c r="P160" s="3" t="s">
        <v>167</v>
      </c>
      <c r="AA160" s="97"/>
      <c r="AF160" s="104"/>
    </row>
    <row r="161" spans="9:32">
      <c r="I161" s="3" t="s">
        <v>923</v>
      </c>
      <c r="J161" s="3" t="s">
        <v>924</v>
      </c>
      <c r="L161" s="3" t="s">
        <v>315</v>
      </c>
      <c r="M161" s="3" t="s">
        <v>925</v>
      </c>
      <c r="N161" s="3">
        <v>72212</v>
      </c>
      <c r="O161" s="3">
        <v>11185</v>
      </c>
      <c r="P161" s="3" t="s">
        <v>81</v>
      </c>
      <c r="AA161" s="97"/>
      <c r="AF161" s="104"/>
    </row>
    <row r="162" spans="9:32">
      <c r="I162" s="3" t="s">
        <v>926</v>
      </c>
      <c r="J162" s="3" t="s">
        <v>927</v>
      </c>
      <c r="L162" s="3" t="s">
        <v>494</v>
      </c>
      <c r="M162" s="3" t="s">
        <v>494</v>
      </c>
      <c r="N162" s="3">
        <v>88390</v>
      </c>
      <c r="O162" s="3">
        <v>10685</v>
      </c>
      <c r="P162" s="3" t="s">
        <v>136</v>
      </c>
      <c r="AA162" s="97"/>
      <c r="AF162" s="104"/>
    </row>
    <row r="163" spans="9:32">
      <c r="I163" s="3" t="s">
        <v>928</v>
      </c>
      <c r="J163" s="3" t="s">
        <v>929</v>
      </c>
      <c r="L163" s="3" t="s">
        <v>391</v>
      </c>
      <c r="M163" s="3" t="s">
        <v>930</v>
      </c>
      <c r="N163" s="3">
        <v>71383</v>
      </c>
      <c r="O163" s="3">
        <v>10863</v>
      </c>
      <c r="P163" s="3" t="s">
        <v>195</v>
      </c>
      <c r="AA163" s="97"/>
      <c r="AF163" s="104"/>
    </row>
    <row r="164" spans="9:32">
      <c r="I164" s="3" t="s">
        <v>931</v>
      </c>
      <c r="J164" s="3" t="s">
        <v>932</v>
      </c>
      <c r="L164" s="3" t="s">
        <v>40</v>
      </c>
      <c r="M164" s="3" t="s">
        <v>933</v>
      </c>
      <c r="N164" s="3">
        <v>72276</v>
      </c>
      <c r="O164" s="3">
        <v>11061</v>
      </c>
      <c r="P164" s="3" t="s">
        <v>42</v>
      </c>
      <c r="AA164" s="97"/>
      <c r="AF164" s="104"/>
    </row>
    <row r="165" spans="9:32">
      <c r="I165" s="3" t="s">
        <v>934</v>
      </c>
      <c r="J165" s="3" t="s">
        <v>935</v>
      </c>
      <c r="L165" s="3" t="s">
        <v>482</v>
      </c>
      <c r="M165" s="3" t="s">
        <v>936</v>
      </c>
      <c r="N165" s="3">
        <v>74254</v>
      </c>
      <c r="O165" s="3">
        <v>10634</v>
      </c>
      <c r="P165" s="3" t="s">
        <v>81</v>
      </c>
      <c r="AA165" s="97"/>
      <c r="AF165" s="104"/>
    </row>
    <row r="166" spans="9:32">
      <c r="I166" s="3" t="s">
        <v>937</v>
      </c>
      <c r="J166" s="3" t="s">
        <v>938</v>
      </c>
      <c r="L166" s="3" t="s">
        <v>356</v>
      </c>
      <c r="M166" s="3" t="s">
        <v>356</v>
      </c>
      <c r="N166" s="3">
        <v>72290</v>
      </c>
      <c r="O166" s="3">
        <v>10774</v>
      </c>
      <c r="P166" s="3" t="s">
        <v>42</v>
      </c>
      <c r="AA166" s="97"/>
      <c r="AF166" s="104"/>
    </row>
    <row r="167" spans="9:32">
      <c r="I167" s="3" t="s">
        <v>939</v>
      </c>
      <c r="J167" s="3" t="s">
        <v>940</v>
      </c>
      <c r="L167" s="3" t="s">
        <v>284</v>
      </c>
      <c r="M167" s="3" t="s">
        <v>941</v>
      </c>
      <c r="N167" s="3">
        <v>70225</v>
      </c>
      <c r="O167" s="3">
        <v>10294</v>
      </c>
      <c r="P167" s="3" t="s">
        <v>42</v>
      </c>
      <c r="AA167" s="97"/>
      <c r="AF167" s="104"/>
    </row>
    <row r="168" spans="9:32">
      <c r="I168" s="3" t="s">
        <v>942</v>
      </c>
      <c r="J168" s="3" t="s">
        <v>943</v>
      </c>
      <c r="L168" s="3" t="s">
        <v>504</v>
      </c>
      <c r="M168" s="3" t="s">
        <v>504</v>
      </c>
      <c r="N168" s="3">
        <v>76290</v>
      </c>
      <c r="O168" s="3">
        <v>11525</v>
      </c>
      <c r="P168" s="3" t="s">
        <v>152</v>
      </c>
      <c r="AA168" s="97"/>
      <c r="AF168" s="104"/>
    </row>
    <row r="169" spans="9:32">
      <c r="I169" s="3" t="s">
        <v>944</v>
      </c>
      <c r="J169" s="3" t="s">
        <v>945</v>
      </c>
      <c r="L169" s="3" t="s">
        <v>417</v>
      </c>
      <c r="M169" s="3" t="s">
        <v>417</v>
      </c>
      <c r="N169" s="3">
        <v>71340</v>
      </c>
      <c r="O169" s="3">
        <v>10715</v>
      </c>
      <c r="P169" s="3" t="s">
        <v>81</v>
      </c>
      <c r="AA169" s="97"/>
      <c r="AF169" s="104"/>
    </row>
    <row r="170" spans="9:32">
      <c r="I170" s="3" t="s">
        <v>946</v>
      </c>
      <c r="J170" s="3" t="s">
        <v>947</v>
      </c>
      <c r="L170" s="3" t="s">
        <v>122</v>
      </c>
      <c r="M170" s="3" t="s">
        <v>948</v>
      </c>
      <c r="N170" s="3">
        <v>75323</v>
      </c>
      <c r="O170" s="3">
        <v>11479</v>
      </c>
      <c r="P170" s="3" t="s">
        <v>35</v>
      </c>
      <c r="AA170" s="97"/>
      <c r="AF170" s="104"/>
    </row>
    <row r="171" spans="9:32">
      <c r="I171" s="3" t="s">
        <v>949</v>
      </c>
      <c r="J171" s="3" t="s">
        <v>950</v>
      </c>
      <c r="L171" s="3" t="s">
        <v>222</v>
      </c>
      <c r="M171" s="3" t="s">
        <v>222</v>
      </c>
      <c r="N171" s="3">
        <v>76270</v>
      </c>
      <c r="O171" s="3">
        <v>11533</v>
      </c>
      <c r="P171" s="3" t="s">
        <v>152</v>
      </c>
      <c r="AA171" s="97"/>
      <c r="AF171" s="104"/>
    </row>
    <row r="172" spans="9:32">
      <c r="I172" s="3" t="s">
        <v>951</v>
      </c>
      <c r="J172" s="3" t="s">
        <v>952</v>
      </c>
      <c r="L172" s="3" t="s">
        <v>168</v>
      </c>
      <c r="M172" s="3" t="s">
        <v>953</v>
      </c>
      <c r="N172" s="3">
        <v>80206</v>
      </c>
      <c r="O172" s="3">
        <v>10588</v>
      </c>
      <c r="P172" s="3" t="s">
        <v>90</v>
      </c>
      <c r="AA172" s="97"/>
      <c r="AF172" s="104"/>
    </row>
    <row r="173" spans="9:32">
      <c r="I173" s="3" t="s">
        <v>954</v>
      </c>
      <c r="J173" s="3" t="s">
        <v>955</v>
      </c>
      <c r="L173" s="3" t="s">
        <v>91</v>
      </c>
      <c r="M173" s="3" t="s">
        <v>956</v>
      </c>
      <c r="N173" s="3">
        <v>77228</v>
      </c>
      <c r="O173" s="3">
        <v>10227</v>
      </c>
      <c r="P173" s="3" t="s">
        <v>57</v>
      </c>
      <c r="AA173" s="97"/>
      <c r="AF173" s="104"/>
    </row>
    <row r="174" spans="9:32">
      <c r="I174" s="3" t="s">
        <v>957</v>
      </c>
      <c r="J174" s="3" t="s">
        <v>958</v>
      </c>
      <c r="L174" s="3" t="s">
        <v>398</v>
      </c>
      <c r="M174" s="3" t="s">
        <v>959</v>
      </c>
      <c r="N174" s="3">
        <v>88423</v>
      </c>
      <c r="O174" s="3">
        <v>10421</v>
      </c>
      <c r="P174" s="3" t="s">
        <v>136</v>
      </c>
      <c r="AA174" s="97"/>
      <c r="AF174" s="104"/>
    </row>
    <row r="175" spans="9:32">
      <c r="I175" s="3" t="s">
        <v>960</v>
      </c>
      <c r="J175" s="3" t="s">
        <v>961</v>
      </c>
      <c r="L175" s="3" t="s">
        <v>222</v>
      </c>
      <c r="M175" s="3" t="s">
        <v>962</v>
      </c>
      <c r="N175" s="3">
        <v>76279</v>
      </c>
      <c r="O175" s="3">
        <v>11533</v>
      </c>
      <c r="P175" s="3" t="s">
        <v>152</v>
      </c>
      <c r="AA175" s="97"/>
      <c r="AF175" s="104"/>
    </row>
    <row r="176" spans="9:32">
      <c r="I176" s="3" t="s">
        <v>963</v>
      </c>
      <c r="J176" s="3" t="s">
        <v>964</v>
      </c>
      <c r="L176" s="3" t="s">
        <v>73</v>
      </c>
      <c r="M176" s="3" t="s">
        <v>965</v>
      </c>
      <c r="N176" s="3">
        <v>77244</v>
      </c>
      <c r="O176" s="3">
        <v>11428</v>
      </c>
      <c r="P176" s="3" t="s">
        <v>57</v>
      </c>
      <c r="AA176" s="97"/>
      <c r="AF176" s="104"/>
    </row>
    <row r="177" spans="9:32">
      <c r="I177" s="3" t="s">
        <v>966</v>
      </c>
      <c r="J177" s="3" t="s">
        <v>967</v>
      </c>
      <c r="L177" s="3" t="s">
        <v>79</v>
      </c>
      <c r="M177" s="3" t="s">
        <v>968</v>
      </c>
      <c r="N177" s="3">
        <v>72238</v>
      </c>
      <c r="O177" s="3">
        <v>11207</v>
      </c>
      <c r="P177" s="3" t="s">
        <v>81</v>
      </c>
      <c r="AA177" s="97"/>
      <c r="AF177" s="104"/>
    </row>
    <row r="178" spans="9:32">
      <c r="I178" s="3" t="s">
        <v>969</v>
      </c>
      <c r="J178" s="3" t="s">
        <v>970</v>
      </c>
      <c r="L178" s="3" t="s">
        <v>342</v>
      </c>
      <c r="M178" s="3" t="s">
        <v>971</v>
      </c>
      <c r="N178" s="3">
        <v>70243</v>
      </c>
      <c r="O178" s="3">
        <v>10375</v>
      </c>
      <c r="P178" s="3" t="s">
        <v>42</v>
      </c>
      <c r="AA178" s="97"/>
      <c r="AF178" s="104"/>
    </row>
    <row r="179" spans="9:32">
      <c r="I179" s="3" t="s">
        <v>972</v>
      </c>
      <c r="J179" s="3" t="s">
        <v>973</v>
      </c>
      <c r="L179" s="3" t="s">
        <v>520</v>
      </c>
      <c r="M179" s="3" t="s">
        <v>520</v>
      </c>
      <c r="N179" s="3">
        <v>73290</v>
      </c>
      <c r="O179" s="3">
        <v>11576</v>
      </c>
      <c r="P179" s="3" t="s">
        <v>167</v>
      </c>
      <c r="AA179" s="97"/>
      <c r="AF179" s="104"/>
    </row>
    <row r="180" spans="9:32">
      <c r="I180" s="3" t="s">
        <v>974</v>
      </c>
      <c r="J180" s="3" t="s">
        <v>975</v>
      </c>
      <c r="L180" s="3" t="s">
        <v>376</v>
      </c>
      <c r="M180" s="3" t="s">
        <v>976</v>
      </c>
      <c r="N180" s="3">
        <v>71243</v>
      </c>
      <c r="O180" s="3">
        <v>10847</v>
      </c>
      <c r="P180" s="3" t="s">
        <v>195</v>
      </c>
      <c r="AA180" s="97"/>
      <c r="AF180" s="104"/>
    </row>
    <row r="181" spans="9:32">
      <c r="I181" s="3" t="s">
        <v>977</v>
      </c>
      <c r="J181" s="3" t="s">
        <v>978</v>
      </c>
      <c r="L181" s="3" t="s">
        <v>91</v>
      </c>
      <c r="M181" s="3" t="s">
        <v>979</v>
      </c>
      <c r="N181" s="3">
        <v>77227</v>
      </c>
      <c r="O181" s="3">
        <v>10227</v>
      </c>
      <c r="P181" s="3" t="s">
        <v>57</v>
      </c>
      <c r="AA181" s="97"/>
      <c r="AF181" s="104"/>
    </row>
    <row r="182" spans="9:32">
      <c r="I182" s="3" t="s">
        <v>980</v>
      </c>
      <c r="J182" s="3" t="s">
        <v>981</v>
      </c>
      <c r="L182" s="3" t="s">
        <v>113</v>
      </c>
      <c r="M182" s="3" t="s">
        <v>982</v>
      </c>
      <c r="N182" s="3">
        <v>72252</v>
      </c>
      <c r="O182" s="3">
        <v>11142</v>
      </c>
      <c r="P182" s="3" t="s">
        <v>42</v>
      </c>
      <c r="AA182" s="97"/>
      <c r="AF182" s="104"/>
    </row>
    <row r="183" spans="9:32">
      <c r="I183" s="3" t="s">
        <v>983</v>
      </c>
      <c r="J183" s="3" t="s">
        <v>984</v>
      </c>
      <c r="L183" s="3" t="s">
        <v>168</v>
      </c>
      <c r="M183" s="3" t="s">
        <v>985</v>
      </c>
      <c r="N183" s="3">
        <v>80209</v>
      </c>
      <c r="O183" s="3">
        <v>10588</v>
      </c>
      <c r="P183" s="3" t="s">
        <v>90</v>
      </c>
      <c r="AA183" s="97"/>
      <c r="AF183" s="104"/>
    </row>
    <row r="184" spans="9:32">
      <c r="I184" s="3" t="s">
        <v>986</v>
      </c>
      <c r="J184" s="3" t="s">
        <v>987</v>
      </c>
      <c r="L184" s="3" t="s">
        <v>391</v>
      </c>
      <c r="M184" s="3" t="s">
        <v>988</v>
      </c>
      <c r="N184" s="3">
        <v>71387</v>
      </c>
      <c r="O184" s="3">
        <v>10863</v>
      </c>
      <c r="P184" s="3" t="s">
        <v>195</v>
      </c>
      <c r="AA184" s="97"/>
      <c r="AF184" s="104"/>
    </row>
    <row r="185" spans="9:32">
      <c r="I185" s="3" t="s">
        <v>989</v>
      </c>
      <c r="J185" s="3" t="s">
        <v>990</v>
      </c>
      <c r="L185" s="3" t="s">
        <v>153</v>
      </c>
      <c r="M185" s="3" t="s">
        <v>991</v>
      </c>
      <c r="N185" s="3">
        <v>88403</v>
      </c>
      <c r="O185" s="3">
        <v>10529</v>
      </c>
      <c r="P185" s="3" t="s">
        <v>136</v>
      </c>
      <c r="AA185" s="97"/>
      <c r="AF185" s="104"/>
    </row>
    <row r="186" spans="9:32">
      <c r="I186" s="3" t="s">
        <v>992</v>
      </c>
      <c r="J186" s="3" t="s">
        <v>993</v>
      </c>
      <c r="L186" s="3" t="s">
        <v>247</v>
      </c>
      <c r="M186" s="3" t="s">
        <v>994</v>
      </c>
      <c r="N186" s="3">
        <v>75355</v>
      </c>
      <c r="O186" s="3">
        <v>10987</v>
      </c>
      <c r="P186" s="3" t="s">
        <v>35</v>
      </c>
      <c r="AA186" s="97"/>
      <c r="AF186" s="104"/>
    </row>
    <row r="187" spans="9:32">
      <c r="I187" s="3" t="s">
        <v>995</v>
      </c>
      <c r="J187" s="3" t="s">
        <v>996</v>
      </c>
      <c r="L187" s="3" t="s">
        <v>187</v>
      </c>
      <c r="M187" s="3" t="s">
        <v>997</v>
      </c>
      <c r="N187" s="3">
        <v>88206</v>
      </c>
      <c r="O187" s="3">
        <v>11410</v>
      </c>
      <c r="P187" s="3" t="s">
        <v>136</v>
      </c>
      <c r="AA187" s="97"/>
      <c r="AF187" s="104"/>
    </row>
    <row r="188" spans="9:32">
      <c r="I188" s="3" t="s">
        <v>998</v>
      </c>
      <c r="J188" s="3" t="s">
        <v>999</v>
      </c>
      <c r="L188" s="3" t="s">
        <v>634</v>
      </c>
      <c r="M188" s="3" t="s">
        <v>1000</v>
      </c>
      <c r="N188" s="3">
        <v>77232</v>
      </c>
      <c r="O188" s="3">
        <v>11118</v>
      </c>
      <c r="P188" s="3" t="s">
        <v>57</v>
      </c>
      <c r="AA188" s="97"/>
      <c r="AF188" s="104"/>
    </row>
    <row r="189" spans="9:32">
      <c r="I189" s="3" t="s">
        <v>1001</v>
      </c>
      <c r="J189" s="3" t="s">
        <v>1002</v>
      </c>
      <c r="L189" s="3" t="s">
        <v>54</v>
      </c>
      <c r="M189" s="3" t="s">
        <v>1003</v>
      </c>
      <c r="N189" s="3">
        <v>77209</v>
      </c>
      <c r="O189" s="3">
        <v>10049</v>
      </c>
      <c r="P189" s="3" t="s">
        <v>57</v>
      </c>
      <c r="AA189" s="97"/>
      <c r="AF189" s="104"/>
    </row>
    <row r="190" spans="9:32">
      <c r="I190" s="3" t="s">
        <v>1004</v>
      </c>
      <c r="J190" s="3" t="s">
        <v>1005</v>
      </c>
      <c r="L190" s="3" t="s">
        <v>182</v>
      </c>
      <c r="M190" s="3" t="s">
        <v>1006</v>
      </c>
      <c r="N190" s="3">
        <v>75303</v>
      </c>
      <c r="O190" s="3">
        <v>10600</v>
      </c>
      <c r="P190" s="3" t="s">
        <v>35</v>
      </c>
      <c r="AA190" s="97"/>
      <c r="AF190" s="104"/>
    </row>
    <row r="191" spans="9:32">
      <c r="I191" s="3" t="s">
        <v>1007</v>
      </c>
      <c r="J191" s="3" t="s">
        <v>1008</v>
      </c>
      <c r="L191" s="3" t="s">
        <v>347</v>
      </c>
      <c r="M191" s="3" t="s">
        <v>347</v>
      </c>
      <c r="N191" s="3">
        <v>88240</v>
      </c>
      <c r="O191" s="3">
        <v>10731</v>
      </c>
      <c r="P191" s="3" t="s">
        <v>181</v>
      </c>
      <c r="AA191" s="97"/>
      <c r="AF191" s="104"/>
    </row>
    <row r="192" spans="9:32">
      <c r="I192" s="3" t="s">
        <v>1009</v>
      </c>
      <c r="J192" s="3" t="s">
        <v>1010</v>
      </c>
      <c r="L192" s="3" t="s">
        <v>187</v>
      </c>
      <c r="M192" s="3" t="s">
        <v>1011</v>
      </c>
      <c r="N192" s="3">
        <v>88208</v>
      </c>
      <c r="O192" s="3">
        <v>11410</v>
      </c>
      <c r="P192" s="3" t="s">
        <v>136</v>
      </c>
      <c r="AA192" s="97"/>
      <c r="AF192" s="104"/>
    </row>
    <row r="193" spans="9:32">
      <c r="I193" s="3" t="s">
        <v>1012</v>
      </c>
      <c r="J193" s="3" t="s">
        <v>1013</v>
      </c>
      <c r="L193" s="3" t="s">
        <v>93</v>
      </c>
      <c r="M193" s="3" t="s">
        <v>1014</v>
      </c>
      <c r="N193" s="3">
        <v>78435</v>
      </c>
      <c r="O193" s="3">
        <v>11436</v>
      </c>
      <c r="P193" s="3" t="s">
        <v>57</v>
      </c>
      <c r="AA193" s="97"/>
      <c r="AF193" s="104"/>
    </row>
    <row r="194" spans="9:32">
      <c r="I194" s="3" t="s">
        <v>1015</v>
      </c>
      <c r="J194" s="3" t="s">
        <v>1016</v>
      </c>
      <c r="L194" s="3" t="s">
        <v>168</v>
      </c>
      <c r="M194" s="3" t="s">
        <v>1017</v>
      </c>
      <c r="N194" s="3">
        <v>80202</v>
      </c>
      <c r="O194" s="3">
        <v>10588</v>
      </c>
      <c r="P194" s="3" t="s">
        <v>90</v>
      </c>
      <c r="AA194" s="97"/>
      <c r="AF194" s="104"/>
    </row>
    <row r="195" spans="9:32">
      <c r="I195" s="3" t="s">
        <v>1018</v>
      </c>
      <c r="J195" s="3" t="s">
        <v>1019</v>
      </c>
      <c r="L195" s="3" t="s">
        <v>602</v>
      </c>
      <c r="M195" s="3" t="s">
        <v>1020</v>
      </c>
      <c r="N195" s="3">
        <v>80245</v>
      </c>
      <c r="O195" s="3">
        <v>10308</v>
      </c>
      <c r="P195" s="3" t="s">
        <v>90</v>
      </c>
      <c r="AA195" s="97"/>
      <c r="AF195" s="104"/>
    </row>
    <row r="196" spans="9:32">
      <c r="I196" s="3" t="s">
        <v>1021</v>
      </c>
      <c r="J196" s="3" t="s">
        <v>1022</v>
      </c>
      <c r="L196" s="3" t="s">
        <v>196</v>
      </c>
      <c r="M196" s="3" t="s">
        <v>1023</v>
      </c>
      <c r="N196" s="3">
        <v>88327</v>
      </c>
      <c r="O196" s="3">
        <v>10626</v>
      </c>
      <c r="P196" s="3" t="s">
        <v>181</v>
      </c>
      <c r="AA196" s="97"/>
      <c r="AF196" s="104"/>
    </row>
    <row r="197" spans="9:32">
      <c r="I197" s="3" t="s">
        <v>1024</v>
      </c>
      <c r="J197" s="3" t="s">
        <v>1025</v>
      </c>
      <c r="L197" s="3" t="s">
        <v>518</v>
      </c>
      <c r="M197" s="3" t="s">
        <v>518</v>
      </c>
      <c r="N197" s="3">
        <v>88440</v>
      </c>
      <c r="O197" s="3">
        <v>10766</v>
      </c>
      <c r="P197" s="3" t="s">
        <v>136</v>
      </c>
      <c r="AA197" s="97"/>
      <c r="AF197" s="104"/>
    </row>
    <row r="198" spans="9:32">
      <c r="I198" s="3" t="s">
        <v>1026</v>
      </c>
      <c r="J198" s="3" t="s">
        <v>1027</v>
      </c>
      <c r="L198" s="3" t="s">
        <v>504</v>
      </c>
      <c r="M198" s="3" t="s">
        <v>1028</v>
      </c>
      <c r="N198" s="3">
        <v>76292</v>
      </c>
      <c r="O198" s="3">
        <v>11525</v>
      </c>
      <c r="P198" s="3" t="s">
        <v>152</v>
      </c>
      <c r="AA198" s="97"/>
      <c r="AF198" s="104"/>
    </row>
    <row r="199" spans="9:32">
      <c r="I199" s="3" t="s">
        <v>1029</v>
      </c>
      <c r="J199" s="3" t="s">
        <v>1030</v>
      </c>
      <c r="L199" s="3" t="s">
        <v>284</v>
      </c>
      <c r="M199" s="3" t="s">
        <v>1031</v>
      </c>
      <c r="N199" s="3">
        <v>70223</v>
      </c>
      <c r="O199" s="3">
        <v>10294</v>
      </c>
      <c r="P199" s="3" t="s">
        <v>42</v>
      </c>
      <c r="AA199" s="97"/>
      <c r="AF199" s="104"/>
    </row>
    <row r="200" spans="9:32">
      <c r="I200" s="3" t="s">
        <v>1032</v>
      </c>
      <c r="J200" s="3" t="s">
        <v>1033</v>
      </c>
      <c r="L200" s="3" t="s">
        <v>629</v>
      </c>
      <c r="M200" s="3" t="s">
        <v>1034</v>
      </c>
      <c r="N200" s="3">
        <v>71335</v>
      </c>
      <c r="O200" s="3">
        <v>11100</v>
      </c>
      <c r="P200" s="3" t="s">
        <v>81</v>
      </c>
      <c r="AA200" s="97"/>
      <c r="AF200" s="104"/>
    </row>
    <row r="201" spans="9:32">
      <c r="I201" s="3" t="s">
        <v>1035</v>
      </c>
      <c r="J201" s="3" t="s">
        <v>1036</v>
      </c>
      <c r="L201" s="3" t="s">
        <v>315</v>
      </c>
      <c r="M201" s="3" t="s">
        <v>1037</v>
      </c>
      <c r="N201" s="3">
        <v>72207</v>
      </c>
      <c r="O201" s="3">
        <v>11185</v>
      </c>
      <c r="P201" s="3" t="s">
        <v>81</v>
      </c>
      <c r="AA201" s="97"/>
      <c r="AF201" s="104"/>
    </row>
    <row r="202" spans="9:32">
      <c r="I202" s="3" t="s">
        <v>1038</v>
      </c>
      <c r="J202" s="3" t="s">
        <v>1039</v>
      </c>
      <c r="L202" s="3" t="s">
        <v>182</v>
      </c>
      <c r="M202" s="3" t="s">
        <v>1040</v>
      </c>
      <c r="N202" s="3">
        <v>75305</v>
      </c>
      <c r="O202" s="3">
        <v>10600</v>
      </c>
      <c r="P202" s="3" t="s">
        <v>35</v>
      </c>
      <c r="AA202" s="97"/>
      <c r="AF202" s="104"/>
    </row>
    <row r="203" spans="9:32">
      <c r="I203" s="3" t="s">
        <v>1041</v>
      </c>
      <c r="J203" s="3" t="s">
        <v>1042</v>
      </c>
      <c r="L203" s="3" t="s">
        <v>196</v>
      </c>
      <c r="M203" s="3" t="s">
        <v>1043</v>
      </c>
      <c r="N203" s="3">
        <v>88325</v>
      </c>
      <c r="O203" s="3">
        <v>10626</v>
      </c>
      <c r="P203" s="3" t="s">
        <v>181</v>
      </c>
      <c r="AA203" s="97"/>
      <c r="AF203" s="104"/>
    </row>
    <row r="204" spans="9:32">
      <c r="I204" s="3" t="s">
        <v>1044</v>
      </c>
      <c r="J204" s="3" t="s">
        <v>1045</v>
      </c>
      <c r="L204" s="3" t="s">
        <v>421</v>
      </c>
      <c r="M204" s="3" t="s">
        <v>1046</v>
      </c>
      <c r="N204" s="3">
        <v>75268</v>
      </c>
      <c r="O204" s="3">
        <v>11495</v>
      </c>
      <c r="P204" s="3" t="s">
        <v>35</v>
      </c>
      <c r="AA204" s="97"/>
      <c r="AF204" s="104"/>
    </row>
    <row r="205" spans="9:32">
      <c r="I205" s="3" t="s">
        <v>1047</v>
      </c>
      <c r="J205" s="3" t="s">
        <v>1048</v>
      </c>
      <c r="L205" s="3" t="s">
        <v>347</v>
      </c>
      <c r="M205" s="3" t="s">
        <v>1049</v>
      </c>
      <c r="N205" s="3">
        <v>88245</v>
      </c>
      <c r="O205" s="3">
        <v>10731</v>
      </c>
      <c r="P205" s="3" t="s">
        <v>181</v>
      </c>
      <c r="AA205" s="97"/>
      <c r="AF205" s="104"/>
    </row>
    <row r="206" spans="9:32">
      <c r="I206" s="3" t="s">
        <v>1050</v>
      </c>
      <c r="J206" s="3" t="s">
        <v>1051</v>
      </c>
      <c r="L206" s="3" t="s">
        <v>214</v>
      </c>
      <c r="M206" s="3" t="s">
        <v>1052</v>
      </c>
      <c r="N206" s="3">
        <v>71217</v>
      </c>
      <c r="O206" s="3">
        <v>11550</v>
      </c>
      <c r="P206" s="3" t="s">
        <v>195</v>
      </c>
      <c r="AA206" s="97"/>
      <c r="AF206" s="104"/>
    </row>
    <row r="207" spans="9:32">
      <c r="I207" s="3" t="s">
        <v>1053</v>
      </c>
      <c r="J207" s="3" t="s">
        <v>1054</v>
      </c>
      <c r="L207" s="3" t="s">
        <v>252</v>
      </c>
      <c r="M207" s="3" t="s">
        <v>535</v>
      </c>
      <c r="N207" s="3">
        <v>88370</v>
      </c>
      <c r="O207" s="3">
        <v>11606</v>
      </c>
      <c r="P207" s="3" t="s">
        <v>136</v>
      </c>
      <c r="AA207" s="97"/>
      <c r="AF207" s="104"/>
    </row>
    <row r="208" spans="9:32">
      <c r="I208" s="3" t="s">
        <v>1055</v>
      </c>
      <c r="J208" s="3" t="s">
        <v>1056</v>
      </c>
      <c r="L208" s="3" t="s">
        <v>54</v>
      </c>
      <c r="M208" s="3" t="s">
        <v>1057</v>
      </c>
      <c r="N208" s="3">
        <v>77215</v>
      </c>
      <c r="O208" s="3">
        <v>10049</v>
      </c>
      <c r="P208" s="3" t="s">
        <v>57</v>
      </c>
      <c r="AA208" s="97"/>
      <c r="AF208" s="104"/>
    </row>
    <row r="209" spans="9:32">
      <c r="I209" s="3" t="s">
        <v>1058</v>
      </c>
      <c r="J209" s="3" t="s">
        <v>1059</v>
      </c>
      <c r="L209" s="3" t="s">
        <v>602</v>
      </c>
      <c r="M209" s="3" t="s">
        <v>1060</v>
      </c>
      <c r="N209" s="3">
        <v>80247</v>
      </c>
      <c r="O209" s="3">
        <v>10308</v>
      </c>
      <c r="P209" s="3" t="s">
        <v>90</v>
      </c>
      <c r="AA209" s="97"/>
      <c r="AF209" s="104"/>
    </row>
    <row r="210" spans="9:32">
      <c r="I210" s="3" t="s">
        <v>1061</v>
      </c>
      <c r="J210" s="3" t="s">
        <v>1062</v>
      </c>
      <c r="L210" s="3" t="s">
        <v>368</v>
      </c>
      <c r="M210" s="3" t="s">
        <v>1063</v>
      </c>
      <c r="N210" s="3">
        <v>88347</v>
      </c>
      <c r="O210" s="3">
        <v>10405</v>
      </c>
      <c r="P210" s="3" t="s">
        <v>181</v>
      </c>
      <c r="AA210" s="97"/>
      <c r="AF210" s="104"/>
    </row>
    <row r="211" spans="9:32">
      <c r="I211" s="3" t="s">
        <v>1064</v>
      </c>
      <c r="J211" s="3" t="s">
        <v>1065</v>
      </c>
      <c r="L211" s="3" t="s">
        <v>442</v>
      </c>
      <c r="M211" s="3" t="s">
        <v>1066</v>
      </c>
      <c r="N211" s="3">
        <v>79285</v>
      </c>
      <c r="O211" s="3">
        <v>11509</v>
      </c>
      <c r="P211" s="3" t="s">
        <v>57</v>
      </c>
      <c r="AA211" s="97"/>
      <c r="AF211" s="104"/>
    </row>
    <row r="212" spans="9:32">
      <c r="I212" s="3" t="s">
        <v>1067</v>
      </c>
      <c r="J212" s="3" t="s">
        <v>1068</v>
      </c>
      <c r="L212" s="3" t="s">
        <v>541</v>
      </c>
      <c r="M212" s="3" t="s">
        <v>541</v>
      </c>
      <c r="N212" s="3">
        <v>79260</v>
      </c>
      <c r="O212" s="3">
        <v>11541</v>
      </c>
      <c r="P212" s="3" t="s">
        <v>57</v>
      </c>
      <c r="AA212" s="97"/>
      <c r="AF212" s="104"/>
    </row>
    <row r="213" spans="9:32">
      <c r="I213" s="3" t="s">
        <v>1069</v>
      </c>
      <c r="J213" s="3" t="s">
        <v>1070</v>
      </c>
      <c r="L213" s="3" t="s">
        <v>547</v>
      </c>
      <c r="M213" s="3" t="s">
        <v>547</v>
      </c>
      <c r="N213" s="3">
        <v>75411</v>
      </c>
      <c r="O213" s="3">
        <v>11312</v>
      </c>
      <c r="P213" s="3" t="s">
        <v>35</v>
      </c>
      <c r="AA213" s="97"/>
      <c r="AF213" s="104"/>
    </row>
    <row r="214" spans="9:32">
      <c r="I214" s="3" t="s">
        <v>1071</v>
      </c>
      <c r="J214" s="3" t="s">
        <v>1072</v>
      </c>
      <c r="L214" s="3" t="s">
        <v>553</v>
      </c>
      <c r="M214" s="3" t="s">
        <v>553</v>
      </c>
      <c r="N214" s="3">
        <v>71101</v>
      </c>
      <c r="O214" s="3">
        <v>10839</v>
      </c>
      <c r="P214" s="3" t="s">
        <v>195</v>
      </c>
      <c r="AA214" s="97"/>
      <c r="AF214" s="104"/>
    </row>
    <row r="215" spans="9:32">
      <c r="I215" s="3" t="s">
        <v>1073</v>
      </c>
      <c r="J215" s="3" t="s">
        <v>1074</v>
      </c>
      <c r="L215" s="3" t="s">
        <v>559</v>
      </c>
      <c r="M215" s="3" t="s">
        <v>559</v>
      </c>
      <c r="N215" s="3">
        <v>71160</v>
      </c>
      <c r="O215" s="3">
        <v>10871</v>
      </c>
      <c r="P215" s="3" t="s">
        <v>195</v>
      </c>
      <c r="AA215" s="97"/>
      <c r="AF215" s="104"/>
    </row>
    <row r="216" spans="9:32">
      <c r="I216" s="3" t="s">
        <v>1075</v>
      </c>
      <c r="J216" s="3" t="s">
        <v>1076</v>
      </c>
      <c r="L216" s="3" t="s">
        <v>565</v>
      </c>
      <c r="M216" s="3" t="s">
        <v>565</v>
      </c>
      <c r="N216" s="3">
        <v>71120</v>
      </c>
      <c r="O216" s="3">
        <v>11568</v>
      </c>
      <c r="P216" s="3" t="s">
        <v>195</v>
      </c>
      <c r="AA216" s="97"/>
      <c r="AF216" s="104"/>
    </row>
    <row r="217" spans="9:32">
      <c r="I217" s="3" t="s">
        <v>1077</v>
      </c>
      <c r="J217" s="3" t="s">
        <v>1078</v>
      </c>
      <c r="L217" s="3" t="s">
        <v>570</v>
      </c>
      <c r="M217" s="3" t="s">
        <v>570</v>
      </c>
      <c r="N217" s="3">
        <v>71140</v>
      </c>
      <c r="O217" s="3">
        <v>11584</v>
      </c>
      <c r="P217" s="3" t="s">
        <v>195</v>
      </c>
      <c r="AA217" s="97"/>
      <c r="AF217" s="104"/>
    </row>
    <row r="218" spans="9:32">
      <c r="I218" s="3" t="s">
        <v>1079</v>
      </c>
      <c r="J218" s="3" t="s">
        <v>1080</v>
      </c>
      <c r="L218" s="3" t="s">
        <v>649</v>
      </c>
      <c r="M218" s="3" t="s">
        <v>1081</v>
      </c>
      <c r="N218" s="3">
        <v>71321</v>
      </c>
      <c r="O218" s="3">
        <v>10928</v>
      </c>
      <c r="P218" s="3" t="s">
        <v>195</v>
      </c>
      <c r="AA218" s="97"/>
      <c r="AF218" s="104"/>
    </row>
    <row r="219" spans="9:32">
      <c r="I219" s="3" t="s">
        <v>1082</v>
      </c>
      <c r="J219" s="3" t="s">
        <v>1083</v>
      </c>
      <c r="L219" s="3" t="s">
        <v>283</v>
      </c>
      <c r="M219" s="3" t="s">
        <v>1084</v>
      </c>
      <c r="N219" s="3">
        <v>75207</v>
      </c>
      <c r="O219" s="3">
        <v>11088</v>
      </c>
      <c r="P219" s="3" t="s">
        <v>35</v>
      </c>
      <c r="AA219" s="97"/>
      <c r="AF219" s="104"/>
    </row>
    <row r="220" spans="9:32">
      <c r="I220" s="3" t="s">
        <v>1085</v>
      </c>
      <c r="J220" s="3" t="s">
        <v>1086</v>
      </c>
      <c r="L220" s="3" t="s">
        <v>247</v>
      </c>
      <c r="M220" s="3" t="s">
        <v>1087</v>
      </c>
      <c r="N220" s="3">
        <v>75353</v>
      </c>
      <c r="O220" s="3">
        <v>10987</v>
      </c>
      <c r="P220" s="3" t="s">
        <v>35</v>
      </c>
      <c r="AA220" s="97"/>
      <c r="AF220" s="104"/>
    </row>
    <row r="221" spans="9:32">
      <c r="I221" s="3" t="s">
        <v>1088</v>
      </c>
      <c r="J221" s="3" t="s">
        <v>1089</v>
      </c>
      <c r="L221" s="3" t="s">
        <v>368</v>
      </c>
      <c r="M221" s="3" t="s">
        <v>1090</v>
      </c>
      <c r="N221" s="3">
        <v>88345</v>
      </c>
      <c r="O221" s="3">
        <v>10405</v>
      </c>
      <c r="P221" s="3" t="s">
        <v>181</v>
      </c>
      <c r="AA221" s="97"/>
      <c r="AF221" s="104"/>
    </row>
    <row r="222" spans="9:32">
      <c r="I222" s="3" t="s">
        <v>1091</v>
      </c>
      <c r="J222" s="3" t="s">
        <v>1092</v>
      </c>
      <c r="L222" s="3" t="s">
        <v>247</v>
      </c>
      <c r="M222" s="3" t="s">
        <v>247</v>
      </c>
      <c r="N222" s="3">
        <v>75350</v>
      </c>
      <c r="O222" s="3">
        <v>10987</v>
      </c>
      <c r="P222" s="3" t="s">
        <v>35</v>
      </c>
      <c r="AA222" s="97"/>
      <c r="AF222" s="104"/>
    </row>
    <row r="223" spans="9:32">
      <c r="I223" s="3" t="s">
        <v>1093</v>
      </c>
      <c r="J223" s="3" t="s">
        <v>1094</v>
      </c>
      <c r="L223" s="3" t="s">
        <v>391</v>
      </c>
      <c r="M223" s="3" t="s">
        <v>88</v>
      </c>
      <c r="N223" s="3">
        <v>71385</v>
      </c>
      <c r="O223" s="3">
        <v>10863</v>
      </c>
      <c r="P223" s="3" t="s">
        <v>195</v>
      </c>
      <c r="AA223" s="97"/>
      <c r="AF223" s="104"/>
    </row>
    <row r="224" spans="9:32">
      <c r="I224" s="3" t="s">
        <v>1095</v>
      </c>
      <c r="J224" s="3" t="s">
        <v>1096</v>
      </c>
      <c r="L224" s="3" t="s">
        <v>541</v>
      </c>
      <c r="M224" s="3" t="s">
        <v>1097</v>
      </c>
      <c r="N224" s="3">
        <v>79268</v>
      </c>
      <c r="O224" s="3">
        <v>11541</v>
      </c>
      <c r="P224" s="3" t="s">
        <v>57</v>
      </c>
      <c r="AA224" s="97"/>
      <c r="AF224" s="104"/>
    </row>
    <row r="225" spans="9:32">
      <c r="I225" s="3" t="s">
        <v>1098</v>
      </c>
      <c r="J225" s="3" t="s">
        <v>1099</v>
      </c>
      <c r="L225" s="3" t="s">
        <v>113</v>
      </c>
      <c r="M225" s="3" t="s">
        <v>1100</v>
      </c>
      <c r="N225" s="3">
        <v>72251</v>
      </c>
      <c r="O225" s="3">
        <v>11142</v>
      </c>
      <c r="P225" s="3" t="s">
        <v>42</v>
      </c>
      <c r="AA225" s="97"/>
      <c r="AF225" s="104"/>
    </row>
    <row r="226" spans="9:32">
      <c r="I226" s="3" t="s">
        <v>1101</v>
      </c>
      <c r="J226" s="3" t="s">
        <v>1102</v>
      </c>
      <c r="L226" s="3" t="s">
        <v>91</v>
      </c>
      <c r="M226" s="3" t="s">
        <v>1103</v>
      </c>
      <c r="N226" s="3">
        <v>77224</v>
      </c>
      <c r="O226" s="3">
        <v>10227</v>
      </c>
      <c r="P226" s="3" t="s">
        <v>57</v>
      </c>
      <c r="AA226" s="97"/>
      <c r="AF226" s="104"/>
    </row>
    <row r="227" spans="9:32">
      <c r="I227" s="3" t="s">
        <v>1104</v>
      </c>
      <c r="J227" s="3" t="s">
        <v>1105</v>
      </c>
      <c r="L227" s="3" t="s">
        <v>122</v>
      </c>
      <c r="M227" s="3" t="s">
        <v>1106</v>
      </c>
      <c r="N227" s="3">
        <v>75324</v>
      </c>
      <c r="O227" s="3">
        <v>11479</v>
      </c>
      <c r="P227" s="3" t="s">
        <v>35</v>
      </c>
      <c r="AA227" s="97"/>
      <c r="AF227" s="104"/>
    </row>
    <row r="228" spans="9:32">
      <c r="I228" s="3" t="s">
        <v>1107</v>
      </c>
      <c r="J228" s="3" t="s">
        <v>1108</v>
      </c>
      <c r="L228" s="3" t="s">
        <v>252</v>
      </c>
      <c r="M228" s="3" t="s">
        <v>252</v>
      </c>
      <c r="N228" s="3">
        <v>88360</v>
      </c>
      <c r="O228" s="3">
        <v>11606</v>
      </c>
      <c r="P228" s="3" t="s">
        <v>136</v>
      </c>
      <c r="AA228" s="97"/>
      <c r="AF228" s="104"/>
    </row>
    <row r="229" spans="9:32">
      <c r="I229" s="3" t="s">
        <v>1109</v>
      </c>
      <c r="J229" s="3" t="s">
        <v>1110</v>
      </c>
      <c r="L229" s="3" t="s">
        <v>315</v>
      </c>
      <c r="M229" s="3" t="s">
        <v>1111</v>
      </c>
      <c r="N229" s="3">
        <v>72209</v>
      </c>
      <c r="O229" s="3">
        <v>11185</v>
      </c>
      <c r="P229" s="3" t="s">
        <v>81</v>
      </c>
      <c r="AA229" s="97"/>
      <c r="AF229" s="104"/>
    </row>
    <row r="230" spans="9:32">
      <c r="I230" s="3" t="s">
        <v>1112</v>
      </c>
      <c r="J230" s="3" t="s">
        <v>1113</v>
      </c>
      <c r="L230" s="3" t="s">
        <v>196</v>
      </c>
      <c r="M230" s="3" t="s">
        <v>1114</v>
      </c>
      <c r="N230" s="3">
        <v>88323</v>
      </c>
      <c r="O230" s="3">
        <v>10626</v>
      </c>
      <c r="P230" s="3" t="s">
        <v>181</v>
      </c>
      <c r="AA230" s="97"/>
      <c r="AF230" s="104"/>
    </row>
    <row r="231" spans="9:32">
      <c r="I231" s="3" t="s">
        <v>1115</v>
      </c>
      <c r="J231" s="3" t="s">
        <v>1116</v>
      </c>
      <c r="L231" s="3" t="s">
        <v>435</v>
      </c>
      <c r="M231" s="3" t="s">
        <v>1117</v>
      </c>
      <c r="N231" s="3">
        <v>75283</v>
      </c>
      <c r="O231" s="3">
        <v>10499</v>
      </c>
      <c r="P231" s="3" t="s">
        <v>35</v>
      </c>
      <c r="AA231" s="97"/>
      <c r="AF231" s="104"/>
    </row>
    <row r="232" spans="9:32">
      <c r="I232" s="3" t="s">
        <v>1118</v>
      </c>
      <c r="J232" s="3" t="s">
        <v>1119</v>
      </c>
      <c r="L232" s="3" t="s">
        <v>324</v>
      </c>
      <c r="M232" s="3" t="s">
        <v>1120</v>
      </c>
      <c r="N232" s="3">
        <v>75275</v>
      </c>
      <c r="O232" s="3">
        <v>11215</v>
      </c>
      <c r="P232" s="3" t="s">
        <v>35</v>
      </c>
      <c r="AA232" s="97"/>
      <c r="AF232" s="104"/>
    </row>
    <row r="233" spans="9:32">
      <c r="I233" s="3" t="s">
        <v>1121</v>
      </c>
      <c r="J233" s="3" t="s">
        <v>1122</v>
      </c>
      <c r="L233" s="3" t="s">
        <v>209</v>
      </c>
      <c r="M233" s="3" t="s">
        <v>1123</v>
      </c>
      <c r="N233" s="3">
        <v>75245</v>
      </c>
      <c r="O233" s="3">
        <v>11231</v>
      </c>
      <c r="P233" s="3" t="s">
        <v>35</v>
      </c>
      <c r="AA233" s="97"/>
      <c r="AF233" s="104"/>
    </row>
    <row r="234" spans="9:32">
      <c r="I234" s="3" t="s">
        <v>1124</v>
      </c>
      <c r="J234" s="3" t="s">
        <v>1125</v>
      </c>
      <c r="L234" s="3" t="s">
        <v>271</v>
      </c>
      <c r="M234" s="3" t="s">
        <v>271</v>
      </c>
      <c r="N234" s="3">
        <v>88220</v>
      </c>
      <c r="O234" s="3">
        <v>10570</v>
      </c>
      <c r="P234" s="3" t="s">
        <v>181</v>
      </c>
      <c r="AA234" s="97"/>
      <c r="AF234" s="104"/>
    </row>
    <row r="235" spans="9:32">
      <c r="I235" s="3" t="s">
        <v>1126</v>
      </c>
      <c r="J235" s="3" t="s">
        <v>1127</v>
      </c>
      <c r="L235" s="3" t="s">
        <v>247</v>
      </c>
      <c r="M235" s="3" t="s">
        <v>1128</v>
      </c>
      <c r="N235" s="3">
        <v>75356</v>
      </c>
      <c r="O235" s="3">
        <v>10987</v>
      </c>
      <c r="P235" s="3" t="s">
        <v>35</v>
      </c>
      <c r="AA235" s="97"/>
      <c r="AF235" s="104"/>
    </row>
    <row r="236" spans="9:32">
      <c r="I236" s="3" t="s">
        <v>1129</v>
      </c>
      <c r="J236" s="3" t="s">
        <v>1130</v>
      </c>
      <c r="L236" s="3" t="s">
        <v>91</v>
      </c>
      <c r="M236" s="3" t="s">
        <v>1131</v>
      </c>
      <c r="N236" s="3">
        <v>77223</v>
      </c>
      <c r="O236" s="3">
        <v>10227</v>
      </c>
      <c r="P236" s="3" t="s">
        <v>57</v>
      </c>
      <c r="AA236" s="97"/>
      <c r="AF236" s="104"/>
    </row>
    <row r="237" spans="9:32">
      <c r="I237" s="3" t="s">
        <v>1132</v>
      </c>
      <c r="J237" s="3" t="s">
        <v>1133</v>
      </c>
      <c r="L237" s="3" t="s">
        <v>602</v>
      </c>
      <c r="M237" s="3" t="s">
        <v>1134</v>
      </c>
      <c r="N237" s="3">
        <v>80249</v>
      </c>
      <c r="O237" s="3">
        <v>10308</v>
      </c>
      <c r="P237" s="3" t="s">
        <v>90</v>
      </c>
      <c r="AA237" s="97"/>
      <c r="AF237" s="104"/>
    </row>
    <row r="238" spans="9:32">
      <c r="I238" s="3" t="s">
        <v>1135</v>
      </c>
      <c r="J238" s="3" t="s">
        <v>1136</v>
      </c>
      <c r="L238" s="3" t="s">
        <v>634</v>
      </c>
      <c r="M238" s="3" t="s">
        <v>1137</v>
      </c>
      <c r="N238" s="3">
        <v>77234</v>
      </c>
      <c r="O238" s="3">
        <v>11118</v>
      </c>
      <c r="P238" s="3" t="s">
        <v>57</v>
      </c>
      <c r="AA238" s="97"/>
      <c r="AF238" s="104"/>
    </row>
    <row r="239" spans="9:32">
      <c r="I239" s="3" t="s">
        <v>1138</v>
      </c>
      <c r="J239" s="3" t="s">
        <v>1139</v>
      </c>
      <c r="L239" s="3" t="s">
        <v>376</v>
      </c>
      <c r="M239" s="3" t="s">
        <v>1140</v>
      </c>
      <c r="N239" s="3">
        <v>71244</v>
      </c>
      <c r="O239" s="3">
        <v>10847</v>
      </c>
      <c r="P239" s="3" t="s">
        <v>195</v>
      </c>
      <c r="AA239" s="97"/>
      <c r="AF239" s="104"/>
    </row>
    <row r="240" spans="9:32">
      <c r="I240" s="3" t="s">
        <v>1141</v>
      </c>
      <c r="J240" s="3" t="s">
        <v>1142</v>
      </c>
      <c r="L240" s="3" t="s">
        <v>590</v>
      </c>
      <c r="M240" s="3" t="s">
        <v>590</v>
      </c>
      <c r="N240" s="3">
        <v>75414</v>
      </c>
      <c r="O240" s="3">
        <v>11339</v>
      </c>
      <c r="P240" s="3" t="s">
        <v>35</v>
      </c>
      <c r="AA240" s="97"/>
      <c r="AF240" s="104"/>
    </row>
    <row r="241" spans="9:32">
      <c r="I241" s="3" t="s">
        <v>1143</v>
      </c>
      <c r="J241" s="3" t="s">
        <v>1144</v>
      </c>
      <c r="L241" s="3" t="s">
        <v>596</v>
      </c>
      <c r="M241" s="3" t="s">
        <v>596</v>
      </c>
      <c r="N241" s="3">
        <v>74260</v>
      </c>
      <c r="O241" s="3">
        <v>11045</v>
      </c>
      <c r="P241" s="3" t="s">
        <v>81</v>
      </c>
      <c r="AA241" s="97"/>
      <c r="AF241" s="104"/>
    </row>
    <row r="242" spans="9:32">
      <c r="I242" s="3" t="s">
        <v>1145</v>
      </c>
      <c r="J242" s="3" t="s">
        <v>1146</v>
      </c>
      <c r="L242" s="3" t="s">
        <v>596</v>
      </c>
      <c r="M242" s="3" t="s">
        <v>1147</v>
      </c>
      <c r="N242" s="3">
        <v>74266</v>
      </c>
      <c r="O242" s="3">
        <v>11045</v>
      </c>
      <c r="P242" s="3" t="s">
        <v>81</v>
      </c>
      <c r="AA242" s="97"/>
      <c r="AF242" s="104"/>
    </row>
    <row r="243" spans="9:32">
      <c r="I243" s="3" t="s">
        <v>1148</v>
      </c>
      <c r="J243" s="3" t="s">
        <v>1149</v>
      </c>
      <c r="L243" s="3" t="s">
        <v>368</v>
      </c>
      <c r="M243" s="3" t="s">
        <v>1150</v>
      </c>
      <c r="N243" s="3">
        <v>88348</v>
      </c>
      <c r="O243" s="3">
        <v>10405</v>
      </c>
      <c r="P243" s="3" t="s">
        <v>181</v>
      </c>
      <c r="AA243" s="97"/>
      <c r="AF243" s="104"/>
    </row>
    <row r="244" spans="9:32">
      <c r="I244" s="3" t="s">
        <v>1151</v>
      </c>
      <c r="J244" s="3" t="s">
        <v>1152</v>
      </c>
      <c r="L244" s="3" t="s">
        <v>247</v>
      </c>
      <c r="M244" s="3" t="s">
        <v>1153</v>
      </c>
      <c r="N244" s="3">
        <v>75357</v>
      </c>
      <c r="O244" s="3">
        <v>10987</v>
      </c>
      <c r="P244" s="3" t="s">
        <v>35</v>
      </c>
      <c r="AA244" s="97"/>
      <c r="AF244" s="104"/>
    </row>
    <row r="245" spans="9:32">
      <c r="I245" s="3" t="s">
        <v>1154</v>
      </c>
      <c r="J245" s="3" t="s">
        <v>1155</v>
      </c>
      <c r="L245" s="3" t="s">
        <v>634</v>
      </c>
      <c r="M245" s="3" t="s">
        <v>1156</v>
      </c>
      <c r="N245" s="3">
        <v>77233</v>
      </c>
      <c r="O245" s="3">
        <v>11118</v>
      </c>
      <c r="P245" s="3" t="s">
        <v>57</v>
      </c>
      <c r="AA245" s="97"/>
      <c r="AF245" s="104"/>
    </row>
    <row r="246" spans="9:32">
      <c r="I246" s="3" t="s">
        <v>1157</v>
      </c>
      <c r="J246" s="3" t="s">
        <v>1158</v>
      </c>
      <c r="L246" s="3" t="s">
        <v>421</v>
      </c>
      <c r="M246" s="3" t="s">
        <v>1159</v>
      </c>
      <c r="N246" s="3">
        <v>75265</v>
      </c>
      <c r="O246" s="3">
        <v>11495</v>
      </c>
      <c r="P246" s="3" t="s">
        <v>35</v>
      </c>
      <c r="AA246" s="97"/>
      <c r="AF246" s="104"/>
    </row>
    <row r="247" spans="9:32">
      <c r="I247" s="3" t="s">
        <v>1160</v>
      </c>
      <c r="J247" s="3" t="s">
        <v>1161</v>
      </c>
      <c r="L247" s="3" t="s">
        <v>222</v>
      </c>
      <c r="M247" s="3" t="s">
        <v>1162</v>
      </c>
      <c r="N247" s="3">
        <v>76272</v>
      </c>
      <c r="O247" s="3">
        <v>11533</v>
      </c>
      <c r="P247" s="3" t="s">
        <v>152</v>
      </c>
      <c r="AA247" s="97"/>
      <c r="AF247" s="104"/>
    </row>
    <row r="248" spans="9:32">
      <c r="I248" s="3" t="s">
        <v>1163</v>
      </c>
      <c r="J248" s="3" t="s">
        <v>1164</v>
      </c>
      <c r="L248" s="3" t="s">
        <v>602</v>
      </c>
      <c r="M248" s="3" t="s">
        <v>602</v>
      </c>
      <c r="N248" s="3">
        <v>80240</v>
      </c>
      <c r="O248" s="3">
        <v>10308</v>
      </c>
      <c r="P248" s="3" t="s">
        <v>90</v>
      </c>
      <c r="AA248" s="97"/>
      <c r="AF248" s="104"/>
    </row>
    <row r="249" spans="9:32">
      <c r="I249" s="3" t="s">
        <v>1165</v>
      </c>
      <c r="J249" s="3" t="s">
        <v>1166</v>
      </c>
      <c r="L249" s="3" t="s">
        <v>284</v>
      </c>
      <c r="M249" s="3" t="s">
        <v>1167</v>
      </c>
      <c r="N249" s="3">
        <v>70224</v>
      </c>
      <c r="O249" s="3">
        <v>10294</v>
      </c>
      <c r="P249" s="3" t="s">
        <v>42</v>
      </c>
      <c r="AA249" s="97"/>
      <c r="AF249" s="104"/>
    </row>
    <row r="250" spans="9:32">
      <c r="I250" s="3" t="s">
        <v>1168</v>
      </c>
      <c r="J250" s="3" t="s">
        <v>1169</v>
      </c>
      <c r="L250" s="3" t="s">
        <v>40</v>
      </c>
      <c r="M250" s="3" t="s">
        <v>40</v>
      </c>
      <c r="N250" s="3">
        <v>72270</v>
      </c>
      <c r="O250" s="3">
        <v>11061</v>
      </c>
      <c r="P250" s="3" t="s">
        <v>42</v>
      </c>
      <c r="AA250" s="97"/>
      <c r="AF250" s="104"/>
    </row>
    <row r="251" spans="9:32">
      <c r="I251" s="3" t="s">
        <v>1170</v>
      </c>
      <c r="J251" s="3" t="s">
        <v>1171</v>
      </c>
      <c r="L251" s="3" t="s">
        <v>252</v>
      </c>
      <c r="M251" s="3" t="s">
        <v>1172</v>
      </c>
      <c r="N251" s="3">
        <v>88375</v>
      </c>
      <c r="O251" s="3">
        <v>11606</v>
      </c>
      <c r="P251" s="3" t="s">
        <v>136</v>
      </c>
      <c r="AA251" s="97"/>
      <c r="AF251" s="104"/>
    </row>
    <row r="252" spans="9:32">
      <c r="I252" s="3" t="s">
        <v>1173</v>
      </c>
      <c r="J252" s="3" t="s">
        <v>1174</v>
      </c>
      <c r="L252" s="3" t="s">
        <v>91</v>
      </c>
      <c r="M252" s="3" t="s">
        <v>1175</v>
      </c>
      <c r="N252" s="3">
        <v>77225</v>
      </c>
      <c r="O252" s="3">
        <v>10227</v>
      </c>
      <c r="P252" s="3" t="s">
        <v>57</v>
      </c>
      <c r="AA252" s="97"/>
      <c r="AF252" s="104"/>
    </row>
    <row r="253" spans="9:32">
      <c r="I253" s="3" t="s">
        <v>1176</v>
      </c>
      <c r="J253" s="3" t="s">
        <v>1177</v>
      </c>
      <c r="L253" s="3" t="s">
        <v>40</v>
      </c>
      <c r="M253" s="3" t="s">
        <v>1178</v>
      </c>
      <c r="N253" s="3">
        <v>72283</v>
      </c>
      <c r="O253" s="3">
        <v>11061</v>
      </c>
      <c r="P253" s="3" t="s">
        <v>42</v>
      </c>
      <c r="AA253" s="97"/>
      <c r="AF253" s="104"/>
    </row>
    <row r="254" spans="9:32">
      <c r="I254" s="3" t="s">
        <v>1179</v>
      </c>
      <c r="J254" s="3" t="s">
        <v>1180</v>
      </c>
      <c r="L254" s="3" t="s">
        <v>182</v>
      </c>
      <c r="M254" s="3" t="s">
        <v>1181</v>
      </c>
      <c r="N254" s="3">
        <v>75306</v>
      </c>
      <c r="O254" s="3">
        <v>10600</v>
      </c>
      <c r="P254" s="3" t="s">
        <v>35</v>
      </c>
      <c r="AA254" s="97"/>
      <c r="AF254" s="104"/>
    </row>
    <row r="255" spans="9:32">
      <c r="I255" s="3" t="s">
        <v>1182</v>
      </c>
      <c r="J255" s="3" t="s">
        <v>1183</v>
      </c>
      <c r="L255" s="3" t="s">
        <v>283</v>
      </c>
      <c r="M255" s="3" t="s">
        <v>283</v>
      </c>
      <c r="N255" s="3">
        <v>75000</v>
      </c>
      <c r="O255" s="3">
        <v>11088</v>
      </c>
      <c r="P255" s="3" t="s">
        <v>35</v>
      </c>
      <c r="AA255" s="97"/>
      <c r="AF255" s="104"/>
    </row>
    <row r="256" spans="9:32">
      <c r="I256" s="3" t="s">
        <v>1184</v>
      </c>
      <c r="J256" s="3" t="s">
        <v>1185</v>
      </c>
      <c r="L256" s="3" t="s">
        <v>623</v>
      </c>
      <c r="M256" s="3" t="s">
        <v>623</v>
      </c>
      <c r="N256" s="3">
        <v>74230</v>
      </c>
      <c r="O256" s="3">
        <v>11622</v>
      </c>
      <c r="P256" s="3" t="s">
        <v>81</v>
      </c>
      <c r="AA256" s="97"/>
      <c r="AF256" s="104"/>
    </row>
    <row r="257" spans="9:32">
      <c r="I257" s="3" t="s">
        <v>1186</v>
      </c>
      <c r="J257" s="3" t="s">
        <v>1187</v>
      </c>
      <c r="L257" s="3" t="s">
        <v>307</v>
      </c>
      <c r="M257" s="3" t="s">
        <v>1188</v>
      </c>
      <c r="N257" s="3">
        <v>73250</v>
      </c>
      <c r="O257" s="3">
        <v>11444</v>
      </c>
      <c r="P257" s="3" t="s">
        <v>167</v>
      </c>
      <c r="AA257" s="97"/>
      <c r="AF257" s="104"/>
    </row>
    <row r="258" spans="9:32">
      <c r="I258" s="3" t="s">
        <v>1189</v>
      </c>
      <c r="J258" s="3" t="s">
        <v>1190</v>
      </c>
      <c r="L258" s="3" t="s">
        <v>518</v>
      </c>
      <c r="M258" s="3" t="s">
        <v>1191</v>
      </c>
      <c r="N258" s="3">
        <v>88444</v>
      </c>
      <c r="O258" s="3">
        <v>10766</v>
      </c>
      <c r="P258" s="3" t="s">
        <v>136</v>
      </c>
      <c r="AA258" s="97"/>
      <c r="AF258" s="104"/>
    </row>
    <row r="259" spans="9:32">
      <c r="I259" s="3" t="s">
        <v>1192</v>
      </c>
      <c r="J259" s="3" t="s">
        <v>1193</v>
      </c>
      <c r="L259" s="3" t="s">
        <v>629</v>
      </c>
      <c r="M259" s="3" t="s">
        <v>629</v>
      </c>
      <c r="N259" s="3">
        <v>71330</v>
      </c>
      <c r="O259" s="3">
        <v>11100</v>
      </c>
      <c r="P259" s="3" t="s">
        <v>81</v>
      </c>
      <c r="AA259" s="97"/>
      <c r="AF259" s="104"/>
    </row>
    <row r="260" spans="9:32">
      <c r="I260" s="3" t="s">
        <v>1194</v>
      </c>
      <c r="J260" s="3" t="s">
        <v>1195</v>
      </c>
      <c r="L260" s="3" t="s">
        <v>629</v>
      </c>
      <c r="M260" s="3" t="s">
        <v>1196</v>
      </c>
      <c r="N260" s="3">
        <v>71333</v>
      </c>
      <c r="O260" s="3">
        <v>11100</v>
      </c>
      <c r="P260" s="3" t="s">
        <v>81</v>
      </c>
      <c r="AA260" s="97"/>
      <c r="AF260" s="104"/>
    </row>
    <row r="261" spans="9:32">
      <c r="I261" s="3" t="s">
        <v>1197</v>
      </c>
      <c r="J261" s="3" t="s">
        <v>1198</v>
      </c>
      <c r="L261" s="3" t="s">
        <v>73</v>
      </c>
      <c r="M261" s="3" t="s">
        <v>1199</v>
      </c>
      <c r="N261" s="3">
        <v>77243</v>
      </c>
      <c r="O261" s="3">
        <v>11428</v>
      </c>
      <c r="P261" s="3" t="s">
        <v>57</v>
      </c>
      <c r="AA261" s="97"/>
      <c r="AF261" s="104"/>
    </row>
    <row r="262" spans="9:32">
      <c r="I262" s="3" t="s">
        <v>1200</v>
      </c>
      <c r="J262" s="3" t="s">
        <v>1201</v>
      </c>
      <c r="L262" s="3" t="s">
        <v>54</v>
      </c>
      <c r="M262" s="3" t="s">
        <v>1202</v>
      </c>
      <c r="N262" s="3">
        <v>77207</v>
      </c>
      <c r="O262" s="3">
        <v>10049</v>
      </c>
      <c r="P262" s="3" t="s">
        <v>57</v>
      </c>
      <c r="AA262" s="97"/>
      <c r="AF262" s="104"/>
    </row>
    <row r="263" spans="9:32">
      <c r="I263" s="3" t="s">
        <v>1203</v>
      </c>
      <c r="J263" s="3" t="s">
        <v>1204</v>
      </c>
      <c r="L263" s="3" t="s">
        <v>634</v>
      </c>
      <c r="M263" s="3" t="s">
        <v>634</v>
      </c>
      <c r="N263" s="3">
        <v>77230</v>
      </c>
      <c r="O263" s="3">
        <v>11118</v>
      </c>
      <c r="P263" s="3" t="s">
        <v>57</v>
      </c>
      <c r="AA263" s="97"/>
      <c r="AF263" s="104"/>
    </row>
    <row r="264" spans="9:32">
      <c r="I264" s="3" t="s">
        <v>1205</v>
      </c>
      <c r="J264" s="3" t="s">
        <v>1206</v>
      </c>
      <c r="L264" s="3" t="s">
        <v>139</v>
      </c>
      <c r="M264" s="3" t="s">
        <v>1207</v>
      </c>
      <c r="N264" s="3">
        <v>70234</v>
      </c>
      <c r="O264" s="3">
        <v>10197</v>
      </c>
      <c r="P264" s="3" t="s">
        <v>42</v>
      </c>
      <c r="AA264" s="97"/>
      <c r="AF264" s="104"/>
    </row>
    <row r="265" spans="9:32">
      <c r="I265" s="3" t="s">
        <v>1208</v>
      </c>
      <c r="J265" s="3" t="s">
        <v>1209</v>
      </c>
      <c r="L265" s="3" t="s">
        <v>168</v>
      </c>
      <c r="M265" s="3" t="s">
        <v>1210</v>
      </c>
      <c r="N265" s="3">
        <v>80208</v>
      </c>
      <c r="O265" s="3">
        <v>10588</v>
      </c>
      <c r="P265" s="3" t="s">
        <v>90</v>
      </c>
      <c r="AA265" s="97"/>
      <c r="AF265" s="104"/>
    </row>
    <row r="266" spans="9:32">
      <c r="I266" s="3" t="s">
        <v>1211</v>
      </c>
      <c r="J266" s="3" t="s">
        <v>1212</v>
      </c>
      <c r="L266" s="3" t="s">
        <v>222</v>
      </c>
      <c r="M266" s="3" t="s">
        <v>1213</v>
      </c>
      <c r="N266" s="3">
        <v>76275</v>
      </c>
      <c r="O266" s="3">
        <v>11533</v>
      </c>
      <c r="P266" s="3" t="s">
        <v>152</v>
      </c>
      <c r="AA266" s="97"/>
      <c r="AF266" s="104"/>
    </row>
    <row r="267" spans="9:32">
      <c r="I267" s="3" t="s">
        <v>1214</v>
      </c>
      <c r="J267" s="3" t="s">
        <v>1215</v>
      </c>
      <c r="L267" s="3" t="s">
        <v>406</v>
      </c>
      <c r="M267" s="3" t="s">
        <v>1216</v>
      </c>
      <c r="N267" s="3">
        <v>70202</v>
      </c>
      <c r="O267" s="3">
        <v>11487</v>
      </c>
      <c r="P267" s="3" t="s">
        <v>42</v>
      </c>
      <c r="AA267" s="97"/>
      <c r="AF267" s="104"/>
    </row>
    <row r="268" spans="9:32">
      <c r="I268" s="3" t="s">
        <v>1217</v>
      </c>
      <c r="J268" s="3" t="s">
        <v>1218</v>
      </c>
      <c r="L268" s="3" t="s">
        <v>347</v>
      </c>
      <c r="M268" s="3" t="s">
        <v>1219</v>
      </c>
      <c r="N268" s="3">
        <v>88247</v>
      </c>
      <c r="O268" s="3">
        <v>10731</v>
      </c>
      <c r="P268" s="3" t="s">
        <v>181</v>
      </c>
      <c r="AA268" s="97"/>
      <c r="AF268" s="104"/>
    </row>
    <row r="269" spans="9:32">
      <c r="I269" s="3" t="s">
        <v>1220</v>
      </c>
      <c r="J269" s="3" t="s">
        <v>1221</v>
      </c>
      <c r="L269" s="3" t="s">
        <v>295</v>
      </c>
      <c r="M269" s="3" t="s">
        <v>295</v>
      </c>
      <c r="N269" s="3">
        <v>71300</v>
      </c>
      <c r="O269" s="3">
        <v>11126</v>
      </c>
      <c r="P269" s="3" t="s">
        <v>81</v>
      </c>
      <c r="AA269" s="97"/>
      <c r="AF269" s="104"/>
    </row>
    <row r="270" spans="9:32">
      <c r="I270" s="3" t="s">
        <v>1222</v>
      </c>
      <c r="J270" s="3" t="s">
        <v>1223</v>
      </c>
      <c r="L270" s="3" t="s">
        <v>197</v>
      </c>
      <c r="M270" s="3" t="s">
        <v>1224</v>
      </c>
      <c r="N270" s="3">
        <v>88307</v>
      </c>
      <c r="O270" s="3">
        <v>10243</v>
      </c>
      <c r="P270" s="3" t="s">
        <v>136</v>
      </c>
      <c r="AA270" s="97"/>
      <c r="AF270" s="104"/>
    </row>
    <row r="271" spans="9:32">
      <c r="I271" s="3" t="s">
        <v>1225</v>
      </c>
      <c r="J271" s="3" t="s">
        <v>1226</v>
      </c>
      <c r="L271" s="3" t="s">
        <v>113</v>
      </c>
      <c r="M271" s="3" t="s">
        <v>113</v>
      </c>
      <c r="N271" s="3">
        <v>72250</v>
      </c>
      <c r="O271" s="3">
        <v>11142</v>
      </c>
      <c r="P271" s="3" t="s">
        <v>42</v>
      </c>
      <c r="AA271" s="97"/>
      <c r="AF271" s="104"/>
    </row>
    <row r="272" spans="9:32">
      <c r="I272" s="3" t="s">
        <v>1227</v>
      </c>
      <c r="J272" s="3" t="s">
        <v>1228</v>
      </c>
      <c r="L272" s="3" t="s">
        <v>196</v>
      </c>
      <c r="M272" s="3" t="s">
        <v>1229</v>
      </c>
      <c r="N272" s="3">
        <v>88326</v>
      </c>
      <c r="O272" s="3">
        <v>10626</v>
      </c>
      <c r="P272" s="3" t="s">
        <v>181</v>
      </c>
      <c r="AA272" s="97"/>
      <c r="AF272" s="104"/>
    </row>
    <row r="273" spans="9:32">
      <c r="I273" s="3" t="s">
        <v>1230</v>
      </c>
      <c r="J273" s="3" t="s">
        <v>1231</v>
      </c>
      <c r="L273" s="3" t="s">
        <v>106</v>
      </c>
      <c r="M273" s="3" t="s">
        <v>1232</v>
      </c>
      <c r="N273" s="3">
        <v>73205</v>
      </c>
      <c r="O273" s="3">
        <v>11452</v>
      </c>
      <c r="P273" s="3" t="s">
        <v>167</v>
      </c>
      <c r="AA273" s="97"/>
      <c r="AF273" s="104"/>
    </row>
    <row r="274" spans="9:32">
      <c r="I274" s="3" t="s">
        <v>1233</v>
      </c>
      <c r="J274" s="3" t="s">
        <v>1234</v>
      </c>
      <c r="L274" s="3" t="s">
        <v>649</v>
      </c>
      <c r="M274" s="3" t="s">
        <v>649</v>
      </c>
      <c r="N274" s="3">
        <v>71320</v>
      </c>
      <c r="O274" s="3">
        <v>10928</v>
      </c>
      <c r="P274" s="3" t="s">
        <v>195</v>
      </c>
      <c r="AA274" s="97"/>
      <c r="AF274" s="104"/>
    </row>
    <row r="275" spans="9:32">
      <c r="I275" s="3" t="s">
        <v>1235</v>
      </c>
      <c r="J275" s="3" t="s">
        <v>1236</v>
      </c>
      <c r="L275" s="3" t="s">
        <v>306</v>
      </c>
      <c r="M275" s="3" t="s">
        <v>1237</v>
      </c>
      <c r="N275" s="3">
        <v>72227</v>
      </c>
      <c r="O275" s="3">
        <v>11177</v>
      </c>
      <c r="P275" s="3" t="s">
        <v>81</v>
      </c>
      <c r="AA275" s="97"/>
      <c r="AF275" s="104"/>
    </row>
    <row r="276" spans="9:32">
      <c r="I276" s="3" t="s">
        <v>1238</v>
      </c>
      <c r="J276" s="3" t="s">
        <v>1239</v>
      </c>
      <c r="L276" s="3" t="s">
        <v>187</v>
      </c>
      <c r="M276" s="3" t="s">
        <v>1240</v>
      </c>
      <c r="N276" s="3">
        <v>88113</v>
      </c>
      <c r="O276" s="3">
        <v>11410</v>
      </c>
      <c r="P276" s="3" t="s">
        <v>136</v>
      </c>
      <c r="AA276" s="97"/>
      <c r="AF276" s="104"/>
    </row>
    <row r="277" spans="9:32">
      <c r="I277" s="3" t="s">
        <v>1241</v>
      </c>
      <c r="J277" s="3" t="s">
        <v>1242</v>
      </c>
      <c r="L277" s="3" t="s">
        <v>541</v>
      </c>
      <c r="M277" s="3" t="s">
        <v>1243</v>
      </c>
      <c r="N277" s="3">
        <v>79262</v>
      </c>
      <c r="O277" s="3">
        <v>11541</v>
      </c>
      <c r="P277" s="3" t="s">
        <v>57</v>
      </c>
      <c r="AA277" s="97"/>
      <c r="AF277" s="104"/>
    </row>
    <row r="278" spans="9:32">
      <c r="I278" s="3" t="s">
        <v>1244</v>
      </c>
      <c r="J278" s="3" t="s">
        <v>1245</v>
      </c>
      <c r="L278" s="3" t="s">
        <v>634</v>
      </c>
      <c r="M278" s="3" t="s">
        <v>1246</v>
      </c>
      <c r="N278" s="3">
        <v>77231</v>
      </c>
      <c r="O278" s="3">
        <v>11118</v>
      </c>
      <c r="P278" s="3" t="s">
        <v>57</v>
      </c>
      <c r="AA278" s="97"/>
      <c r="AF278" s="104"/>
    </row>
    <row r="279" spans="9:32">
      <c r="I279" s="3" t="s">
        <v>1247</v>
      </c>
      <c r="J279" s="3" t="s">
        <v>1248</v>
      </c>
      <c r="L279" s="3" t="s">
        <v>54</v>
      </c>
      <c r="M279" s="3" t="s">
        <v>1249</v>
      </c>
      <c r="N279" s="3">
        <v>77203</v>
      </c>
      <c r="O279" s="3">
        <v>10049</v>
      </c>
      <c r="P279" s="3" t="s">
        <v>57</v>
      </c>
      <c r="AA279" s="97"/>
      <c r="AF279" s="104"/>
    </row>
    <row r="280" spans="9:32">
      <c r="I280" s="3" t="s">
        <v>1250</v>
      </c>
      <c r="J280" s="3" t="s">
        <v>1251</v>
      </c>
      <c r="L280" s="3" t="s">
        <v>138</v>
      </c>
      <c r="M280" s="3" t="s">
        <v>1252</v>
      </c>
      <c r="N280" s="3">
        <v>76254</v>
      </c>
      <c r="O280" s="3">
        <v>10391</v>
      </c>
      <c r="P280" s="3" t="s">
        <v>35</v>
      </c>
      <c r="AA280" s="97"/>
      <c r="AF280" s="104"/>
    </row>
    <row r="281" spans="9:32">
      <c r="I281" s="3" t="s">
        <v>1253</v>
      </c>
      <c r="J281" s="3" t="s">
        <v>1254</v>
      </c>
      <c r="L281" s="3" t="s">
        <v>306</v>
      </c>
      <c r="M281" s="3" t="s">
        <v>306</v>
      </c>
      <c r="N281" s="3">
        <v>72220</v>
      </c>
      <c r="O281" s="3">
        <v>11177</v>
      </c>
      <c r="P281" s="3" t="s">
        <v>81</v>
      </c>
      <c r="AA281" s="97"/>
      <c r="AF281" s="104"/>
    </row>
    <row r="282" spans="9:32">
      <c r="I282" s="3" t="s">
        <v>1255</v>
      </c>
      <c r="J282" s="3" t="s">
        <v>1256</v>
      </c>
      <c r="L282" s="3" t="s">
        <v>634</v>
      </c>
      <c r="M282" s="3" t="s">
        <v>1257</v>
      </c>
      <c r="N282" s="3">
        <v>77236</v>
      </c>
      <c r="O282" s="3">
        <v>11118</v>
      </c>
      <c r="P282" s="3" t="s">
        <v>57</v>
      </c>
      <c r="AA282" s="97"/>
      <c r="AF282" s="104"/>
    </row>
    <row r="283" spans="9:32">
      <c r="I283" s="3" t="s">
        <v>1258</v>
      </c>
      <c r="J283" s="3" t="s">
        <v>1259</v>
      </c>
      <c r="L283" s="3" t="s">
        <v>138</v>
      </c>
      <c r="M283" s="3" t="s">
        <v>1260</v>
      </c>
      <c r="N283" s="3">
        <v>76259</v>
      </c>
      <c r="O283" s="3">
        <v>10391</v>
      </c>
      <c r="P283" s="3" t="s">
        <v>35</v>
      </c>
      <c r="AA283" s="97"/>
      <c r="AF283" s="104"/>
    </row>
    <row r="284" spans="9:32">
      <c r="I284" s="3" t="s">
        <v>1261</v>
      </c>
      <c r="J284" s="3" t="s">
        <v>1262</v>
      </c>
      <c r="L284" s="3" t="s">
        <v>315</v>
      </c>
      <c r="M284" s="3" t="s">
        <v>315</v>
      </c>
      <c r="N284" s="3">
        <v>72000</v>
      </c>
      <c r="O284" s="3">
        <v>11185</v>
      </c>
      <c r="P284" s="3" t="s">
        <v>81</v>
      </c>
      <c r="AA284" s="97"/>
      <c r="AF284" s="104"/>
    </row>
    <row r="285" spans="9:32">
      <c r="I285" s="3" t="s">
        <v>1263</v>
      </c>
      <c r="J285" s="3" t="s">
        <v>1264</v>
      </c>
      <c r="L285" s="3" t="s">
        <v>79</v>
      </c>
      <c r="M285" s="3" t="s">
        <v>1265</v>
      </c>
      <c r="N285" s="3">
        <v>72236</v>
      </c>
      <c r="O285" s="3">
        <v>11207</v>
      </c>
      <c r="P285" s="3" t="s">
        <v>81</v>
      </c>
      <c r="AA285" s="97"/>
      <c r="AF285" s="104"/>
    </row>
    <row r="286" spans="9:32">
      <c r="I286" s="3" t="s">
        <v>1266</v>
      </c>
      <c r="J286" s="3" t="s">
        <v>1267</v>
      </c>
      <c r="L286" s="3" t="s">
        <v>79</v>
      </c>
      <c r="M286" s="3" t="s">
        <v>79</v>
      </c>
      <c r="N286" s="3">
        <v>72230</v>
      </c>
      <c r="O286" s="3">
        <v>11207</v>
      </c>
      <c r="P286" s="3" t="s">
        <v>81</v>
      </c>
      <c r="AA286" s="97"/>
      <c r="AF286" s="104"/>
    </row>
    <row r="287" spans="9:32">
      <c r="I287" s="3" t="s">
        <v>1268</v>
      </c>
      <c r="J287" s="3" t="s">
        <v>1269</v>
      </c>
      <c r="L287" s="3" t="s">
        <v>324</v>
      </c>
      <c r="M287" s="3" t="s">
        <v>324</v>
      </c>
      <c r="N287" s="3">
        <v>75270</v>
      </c>
      <c r="O287" s="3">
        <v>11215</v>
      </c>
      <c r="P287" s="3" t="s">
        <v>35</v>
      </c>
      <c r="AA287" s="97"/>
      <c r="AF287" s="104"/>
    </row>
    <row r="288" spans="9:32">
      <c r="I288" s="3" t="s">
        <v>1270</v>
      </c>
      <c r="J288" s="3" t="s">
        <v>1271</v>
      </c>
      <c r="L288" s="3" t="s">
        <v>123</v>
      </c>
      <c r="M288" s="3" t="s">
        <v>1272</v>
      </c>
      <c r="N288" s="3">
        <v>71373</v>
      </c>
      <c r="O288" s="3">
        <v>10189</v>
      </c>
      <c r="P288" s="3" t="s">
        <v>81</v>
      </c>
      <c r="AA288" s="97"/>
      <c r="AF288" s="104"/>
    </row>
    <row r="289" spans="9:32">
      <c r="I289" s="3" t="s">
        <v>1273</v>
      </c>
      <c r="J289" s="3" t="s">
        <v>1274</v>
      </c>
      <c r="AA289" s="97"/>
      <c r="AF289" s="104"/>
    </row>
    <row r="290" spans="9:32">
      <c r="I290" s="3" t="s">
        <v>1275</v>
      </c>
      <c r="J290" s="3" t="s">
        <v>1276</v>
      </c>
      <c r="AA290" s="97"/>
      <c r="AF290" s="104"/>
    </row>
    <row r="291" spans="9:32">
      <c r="I291" s="3" t="s">
        <v>1277</v>
      </c>
      <c r="J291" s="3" t="s">
        <v>1278</v>
      </c>
      <c r="AA291" s="97"/>
      <c r="AF291" s="104"/>
    </row>
    <row r="292" spans="9:32">
      <c r="I292" s="3" t="s">
        <v>1279</v>
      </c>
      <c r="J292" s="3" t="s">
        <v>1280</v>
      </c>
      <c r="AA292" s="97"/>
      <c r="AF292" s="104"/>
    </row>
    <row r="293" spans="9:32">
      <c r="I293" s="3" t="s">
        <v>1281</v>
      </c>
      <c r="J293" s="3" t="s">
        <v>1282</v>
      </c>
      <c r="AA293" s="97"/>
      <c r="AF293" s="104"/>
    </row>
    <row r="294" spans="9:32">
      <c r="I294" s="3" t="s">
        <v>1283</v>
      </c>
      <c r="J294" s="3" t="s">
        <v>1284</v>
      </c>
      <c r="AA294" s="97"/>
      <c r="AF294" s="104"/>
    </row>
    <row r="295" spans="9:32">
      <c r="I295" s="3" t="s">
        <v>1285</v>
      </c>
      <c r="J295" s="3" t="s">
        <v>1286</v>
      </c>
      <c r="AA295" s="97"/>
      <c r="AF295" s="104"/>
    </row>
    <row r="296" spans="9:32">
      <c r="I296" s="3" t="s">
        <v>1287</v>
      </c>
      <c r="J296" s="3" t="s">
        <v>1288</v>
      </c>
      <c r="AA296" s="97"/>
      <c r="AF296" s="104"/>
    </row>
    <row r="297" spans="9:32">
      <c r="I297" s="3" t="s">
        <v>1289</v>
      </c>
      <c r="J297" s="3" t="s">
        <v>1290</v>
      </c>
      <c r="AA297" s="97"/>
      <c r="AF297" s="104"/>
    </row>
    <row r="298" spans="9:32">
      <c r="I298" s="3" t="s">
        <v>1291</v>
      </c>
      <c r="J298" s="3" t="s">
        <v>1292</v>
      </c>
      <c r="AA298" s="97"/>
      <c r="AF298" s="104"/>
    </row>
    <row r="299" spans="9:32">
      <c r="I299" s="3" t="s">
        <v>1293</v>
      </c>
      <c r="J299" s="3" t="s">
        <v>1294</v>
      </c>
      <c r="AA299" s="97"/>
      <c r="AF299" s="104"/>
    </row>
    <row r="300" spans="9:32">
      <c r="I300" s="3" t="s">
        <v>1295</v>
      </c>
      <c r="J300" s="3" t="s">
        <v>1296</v>
      </c>
      <c r="AA300" s="97"/>
      <c r="AF300" s="104"/>
    </row>
    <row r="301" spans="9:32">
      <c r="I301" s="3" t="s">
        <v>1297</v>
      </c>
      <c r="J301" s="3" t="s">
        <v>1298</v>
      </c>
      <c r="AA301" s="97"/>
      <c r="AF301" s="104"/>
    </row>
    <row r="302" spans="9:32">
      <c r="I302" s="3" t="s">
        <v>1299</v>
      </c>
      <c r="J302" s="3" t="s">
        <v>1300</v>
      </c>
      <c r="AA302" s="97"/>
      <c r="AF302" s="104"/>
    </row>
    <row r="303" spans="9:32">
      <c r="I303" s="3" t="s">
        <v>1301</v>
      </c>
      <c r="J303" s="3" t="s">
        <v>1302</v>
      </c>
      <c r="AA303" s="97"/>
      <c r="AF303" s="104"/>
    </row>
    <row r="304" spans="9:32">
      <c r="I304" s="3" t="s">
        <v>1303</v>
      </c>
      <c r="J304" s="3" t="s">
        <v>1304</v>
      </c>
      <c r="AA304" s="97"/>
      <c r="AF304" s="104"/>
    </row>
    <row r="305" spans="9:32">
      <c r="I305" s="3" t="s">
        <v>1305</v>
      </c>
      <c r="J305" s="3" t="s">
        <v>1306</v>
      </c>
      <c r="AA305" s="97"/>
      <c r="AF305" s="104"/>
    </row>
    <row r="306" spans="9:32">
      <c r="I306" s="3" t="s">
        <v>1307</v>
      </c>
      <c r="J306" s="3" t="s">
        <v>1308</v>
      </c>
      <c r="AA306" s="97"/>
      <c r="AF306" s="104"/>
    </row>
    <row r="307" spans="9:32">
      <c r="I307" s="3" t="s">
        <v>1309</v>
      </c>
      <c r="J307" s="3" t="s">
        <v>1310</v>
      </c>
      <c r="AA307" s="97"/>
      <c r="AF307" s="104"/>
    </row>
    <row r="308" spans="9:32">
      <c r="I308" s="3" t="s">
        <v>1311</v>
      </c>
      <c r="J308" s="3" t="s">
        <v>1312</v>
      </c>
      <c r="AA308" s="97"/>
      <c r="AF308" s="104"/>
    </row>
    <row r="309" spans="9:32">
      <c r="I309" s="3" t="s">
        <v>1313</v>
      </c>
      <c r="J309" s="3" t="s">
        <v>1314</v>
      </c>
      <c r="AA309" s="97"/>
      <c r="AF309" s="104"/>
    </row>
    <row r="310" spans="9:32">
      <c r="I310" s="3" t="s">
        <v>1315</v>
      </c>
      <c r="J310" s="3" t="s">
        <v>1316</v>
      </c>
      <c r="AA310" s="97"/>
      <c r="AF310" s="104"/>
    </row>
    <row r="311" spans="9:32">
      <c r="I311" s="3" t="s">
        <v>1317</v>
      </c>
      <c r="J311" s="3" t="s">
        <v>1318</v>
      </c>
      <c r="AA311" s="97"/>
      <c r="AF311" s="104"/>
    </row>
    <row r="312" spans="9:32">
      <c r="I312" s="3" t="s">
        <v>1319</v>
      </c>
      <c r="J312" s="3" t="s">
        <v>1320</v>
      </c>
      <c r="AA312" s="97"/>
      <c r="AF312" s="104"/>
    </row>
    <row r="313" spans="9:32">
      <c r="I313" s="3" t="s">
        <v>1321</v>
      </c>
      <c r="J313" s="3" t="s">
        <v>1322</v>
      </c>
      <c r="AA313" s="97"/>
    </row>
    <row r="314" spans="9:32">
      <c r="I314" s="3" t="s">
        <v>1323</v>
      </c>
      <c r="J314" s="3" t="s">
        <v>1324</v>
      </c>
      <c r="AA314" s="97"/>
    </row>
    <row r="315" spans="9:32">
      <c r="I315" s="3" t="s">
        <v>1325</v>
      </c>
      <c r="J315" s="3" t="s">
        <v>1326</v>
      </c>
      <c r="AA315" s="97"/>
    </row>
    <row r="316" spans="9:32">
      <c r="I316" s="3" t="s">
        <v>1327</v>
      </c>
      <c r="J316" s="3" t="s">
        <v>1328</v>
      </c>
      <c r="AA316" s="97"/>
    </row>
    <row r="317" spans="9:32">
      <c r="I317" s="3" t="s">
        <v>1329</v>
      </c>
      <c r="J317" s="3" t="s">
        <v>1330</v>
      </c>
      <c r="AA317" s="97"/>
    </row>
    <row r="318" spans="9:32">
      <c r="I318" s="3" t="s">
        <v>1331</v>
      </c>
      <c r="J318" s="3" t="s">
        <v>1332</v>
      </c>
      <c r="AA318" s="97"/>
    </row>
    <row r="319" spans="9:32">
      <c r="I319" s="3" t="s">
        <v>1333</v>
      </c>
      <c r="J319" s="3" t="s">
        <v>1334</v>
      </c>
      <c r="AA319" s="97"/>
    </row>
    <row r="320" spans="9:32">
      <c r="I320" s="3" t="s">
        <v>1335</v>
      </c>
      <c r="J320" s="3" t="s">
        <v>1336</v>
      </c>
      <c r="AA320" s="97"/>
    </row>
    <row r="321" spans="9:27">
      <c r="I321" s="3" t="s">
        <v>1337</v>
      </c>
      <c r="J321" s="3" t="s">
        <v>1338</v>
      </c>
      <c r="AA321" s="97"/>
    </row>
    <row r="322" spans="9:27">
      <c r="I322" s="3" t="s">
        <v>1339</v>
      </c>
      <c r="J322" s="3" t="s">
        <v>1340</v>
      </c>
      <c r="AA322" s="97"/>
    </row>
    <row r="323" spans="9:27">
      <c r="I323" s="3" t="s">
        <v>1341</v>
      </c>
      <c r="J323" s="3" t="s">
        <v>1342</v>
      </c>
      <c r="AA323" s="97"/>
    </row>
    <row r="324" spans="9:27">
      <c r="I324" s="3" t="s">
        <v>1343</v>
      </c>
      <c r="J324" s="3" t="s">
        <v>1344</v>
      </c>
      <c r="AA324" s="97"/>
    </row>
    <row r="325" spans="9:27">
      <c r="I325" s="3" t="s">
        <v>1345</v>
      </c>
      <c r="J325" s="3" t="s">
        <v>1346</v>
      </c>
      <c r="AA325" s="97"/>
    </row>
    <row r="326" spans="9:27">
      <c r="I326" s="3" t="s">
        <v>1347</v>
      </c>
      <c r="J326" s="3" t="s">
        <v>1348</v>
      </c>
      <c r="AA326" s="97"/>
    </row>
    <row r="327" spans="9:27">
      <c r="I327" s="3" t="s">
        <v>1349</v>
      </c>
      <c r="J327" s="3" t="s">
        <v>1350</v>
      </c>
      <c r="AA327" s="97"/>
    </row>
    <row r="328" spans="9:27">
      <c r="I328" s="3" t="s">
        <v>1351</v>
      </c>
      <c r="J328" s="3" t="s">
        <v>1352</v>
      </c>
      <c r="AA328" s="97"/>
    </row>
    <row r="329" spans="9:27">
      <c r="I329" s="3" t="s">
        <v>1353</v>
      </c>
      <c r="J329" s="3" t="s">
        <v>1354</v>
      </c>
      <c r="AA329" s="97"/>
    </row>
    <row r="330" spans="9:27">
      <c r="I330" s="3" t="s">
        <v>1355</v>
      </c>
      <c r="J330" s="3" t="s">
        <v>1356</v>
      </c>
      <c r="AA330" s="97"/>
    </row>
    <row r="331" spans="9:27">
      <c r="I331" s="3" t="s">
        <v>1357</v>
      </c>
      <c r="J331" s="3" t="s">
        <v>1358</v>
      </c>
      <c r="AA331" s="97"/>
    </row>
    <row r="332" spans="9:27">
      <c r="I332" s="3" t="s">
        <v>1359</v>
      </c>
      <c r="J332" s="3" t="s">
        <v>1360</v>
      </c>
      <c r="AA332" s="97"/>
    </row>
    <row r="333" spans="9:27">
      <c r="I333" s="3" t="s">
        <v>1361</v>
      </c>
      <c r="J333" s="3" t="s">
        <v>1362</v>
      </c>
      <c r="AA333" s="97"/>
    </row>
    <row r="334" spans="9:27">
      <c r="I334" s="3" t="s">
        <v>1363</v>
      </c>
      <c r="J334" s="3" t="s">
        <v>1364</v>
      </c>
      <c r="AA334" s="97"/>
    </row>
    <row r="335" spans="9:27">
      <c r="I335" s="3" t="s">
        <v>1365</v>
      </c>
      <c r="J335" s="3" t="s">
        <v>1366</v>
      </c>
      <c r="AA335" s="97"/>
    </row>
    <row r="336" spans="9:27">
      <c r="I336" s="3" t="s">
        <v>1367</v>
      </c>
      <c r="J336" s="3" t="s">
        <v>1368</v>
      </c>
      <c r="AA336" s="97"/>
    </row>
    <row r="337" spans="9:27">
      <c r="I337" s="3" t="s">
        <v>1369</v>
      </c>
      <c r="J337" s="3" t="s">
        <v>1370</v>
      </c>
      <c r="AA337" s="97"/>
    </row>
    <row r="338" spans="9:27">
      <c r="I338" s="3" t="s">
        <v>1371</v>
      </c>
      <c r="J338" s="3" t="s">
        <v>1372</v>
      </c>
      <c r="AA338" s="97"/>
    </row>
    <row r="339" spans="9:27">
      <c r="I339" s="3" t="s">
        <v>1373</v>
      </c>
      <c r="J339" s="3" t="s">
        <v>1374</v>
      </c>
      <c r="AA339" s="97"/>
    </row>
    <row r="340" spans="9:27">
      <c r="I340" s="3" t="s">
        <v>1375</v>
      </c>
      <c r="J340" s="3" t="s">
        <v>1376</v>
      </c>
      <c r="AA340" s="97"/>
    </row>
    <row r="341" spans="9:27">
      <c r="I341" s="3" t="s">
        <v>1377</v>
      </c>
      <c r="J341" s="3" t="s">
        <v>1378</v>
      </c>
      <c r="AA341" s="97"/>
    </row>
    <row r="342" spans="9:27">
      <c r="I342" s="3" t="s">
        <v>1379</v>
      </c>
      <c r="J342" s="3" t="s">
        <v>1380</v>
      </c>
      <c r="AA342" s="97"/>
    </row>
    <row r="343" spans="9:27">
      <c r="I343" s="3" t="s">
        <v>1381</v>
      </c>
      <c r="J343" s="3" t="s">
        <v>1382</v>
      </c>
      <c r="AA343" s="97"/>
    </row>
    <row r="344" spans="9:27">
      <c r="I344" s="3" t="s">
        <v>1383</v>
      </c>
      <c r="J344" s="3" t="s">
        <v>1384</v>
      </c>
      <c r="AA344" s="97"/>
    </row>
    <row r="345" spans="9:27">
      <c r="I345" s="3" t="s">
        <v>1385</v>
      </c>
      <c r="J345" s="3" t="s">
        <v>1386</v>
      </c>
      <c r="AA345" s="97"/>
    </row>
    <row r="346" spans="9:27">
      <c r="I346" s="3" t="s">
        <v>1387</v>
      </c>
      <c r="J346" s="3" t="s">
        <v>1388</v>
      </c>
      <c r="AA346" s="97"/>
    </row>
    <row r="347" spans="9:27">
      <c r="I347" s="3" t="s">
        <v>1389</v>
      </c>
      <c r="J347" s="3" t="s">
        <v>1390</v>
      </c>
      <c r="AA347" s="97"/>
    </row>
    <row r="348" spans="9:27">
      <c r="I348" s="3" t="s">
        <v>1391</v>
      </c>
      <c r="J348" s="3" t="s">
        <v>1392</v>
      </c>
      <c r="AA348" s="97"/>
    </row>
    <row r="349" spans="9:27">
      <c r="I349" s="3" t="s">
        <v>1393</v>
      </c>
      <c r="J349" s="3" t="s">
        <v>1394</v>
      </c>
      <c r="AA349" s="97"/>
    </row>
    <row r="350" spans="9:27">
      <c r="I350" s="3" t="s">
        <v>1395</v>
      </c>
      <c r="J350" s="3" t="s">
        <v>1396</v>
      </c>
      <c r="AA350" s="97"/>
    </row>
    <row r="351" spans="9:27">
      <c r="I351" s="3" t="s">
        <v>1397</v>
      </c>
      <c r="J351" s="3" t="s">
        <v>1398</v>
      </c>
      <c r="AA351" s="97"/>
    </row>
    <row r="352" spans="9:27">
      <c r="I352" s="3" t="s">
        <v>1399</v>
      </c>
      <c r="J352" s="3" t="s">
        <v>1400</v>
      </c>
      <c r="AA352" s="97"/>
    </row>
    <row r="353" spans="9:27">
      <c r="I353" s="3" t="s">
        <v>1401</v>
      </c>
      <c r="J353" s="3" t="s">
        <v>1402</v>
      </c>
      <c r="AA353" s="97"/>
    </row>
    <row r="354" spans="9:27">
      <c r="I354" s="3" t="s">
        <v>1403</v>
      </c>
      <c r="J354" s="3" t="s">
        <v>1404</v>
      </c>
      <c r="AA354" s="97"/>
    </row>
    <row r="355" spans="9:27">
      <c r="I355" s="3" t="s">
        <v>1405</v>
      </c>
      <c r="J355" s="3" t="s">
        <v>1406</v>
      </c>
      <c r="AA355" s="97"/>
    </row>
    <row r="356" spans="9:27">
      <c r="I356" s="3" t="s">
        <v>1407</v>
      </c>
      <c r="J356" s="3" t="s">
        <v>1408</v>
      </c>
      <c r="AA356" s="97"/>
    </row>
    <row r="357" spans="9:27">
      <c r="I357" s="3" t="s">
        <v>1409</v>
      </c>
      <c r="J357" s="3" t="s">
        <v>1410</v>
      </c>
      <c r="AA357" s="97"/>
    </row>
    <row r="358" spans="9:27">
      <c r="I358" s="3" t="s">
        <v>1411</v>
      </c>
      <c r="J358" s="3" t="s">
        <v>1412</v>
      </c>
      <c r="AA358" s="97"/>
    </row>
    <row r="359" spans="9:27">
      <c r="I359" s="3" t="s">
        <v>1413</v>
      </c>
      <c r="J359" s="3" t="s">
        <v>1414</v>
      </c>
      <c r="AA359" s="97"/>
    </row>
    <row r="360" spans="9:27">
      <c r="I360" s="3" t="s">
        <v>1415</v>
      </c>
      <c r="J360" s="3" t="s">
        <v>1416</v>
      </c>
      <c r="AA360" s="97"/>
    </row>
    <row r="361" spans="9:27">
      <c r="I361" s="3" t="s">
        <v>1417</v>
      </c>
      <c r="J361" s="3" t="s">
        <v>1418</v>
      </c>
      <c r="AA361" s="97"/>
    </row>
    <row r="362" spans="9:27">
      <c r="I362" s="3" t="s">
        <v>1419</v>
      </c>
      <c r="J362" s="3" t="s">
        <v>1420</v>
      </c>
      <c r="AA362" s="97"/>
    </row>
    <row r="363" spans="9:27">
      <c r="I363" s="3" t="s">
        <v>1421</v>
      </c>
      <c r="J363" s="3" t="s">
        <v>1422</v>
      </c>
      <c r="AA363" s="97"/>
    </row>
    <row r="364" spans="9:27">
      <c r="I364" s="3" t="s">
        <v>1423</v>
      </c>
      <c r="J364" s="3" t="s">
        <v>1424</v>
      </c>
      <c r="AA364" s="97"/>
    </row>
    <row r="365" spans="9:27">
      <c r="I365" s="3" t="s">
        <v>1425</v>
      </c>
      <c r="J365" s="3" t="s">
        <v>1426</v>
      </c>
      <c r="AA365" s="97"/>
    </row>
    <row r="366" spans="9:27">
      <c r="I366" s="3" t="s">
        <v>1427</v>
      </c>
      <c r="J366" s="3" t="s">
        <v>1428</v>
      </c>
      <c r="AA366" s="97"/>
    </row>
    <row r="367" spans="9:27">
      <c r="I367" s="3" t="s">
        <v>1429</v>
      </c>
      <c r="J367" s="3" t="s">
        <v>1430</v>
      </c>
      <c r="AA367" s="97"/>
    </row>
    <row r="368" spans="9:27">
      <c r="I368" s="3" t="s">
        <v>1431</v>
      </c>
      <c r="J368" s="3" t="s">
        <v>1432</v>
      </c>
      <c r="AA368" s="97"/>
    </row>
    <row r="369" spans="9:27">
      <c r="I369" s="3" t="s">
        <v>1433</v>
      </c>
      <c r="J369" s="3" t="s">
        <v>1434</v>
      </c>
      <c r="AA369" s="97"/>
    </row>
    <row r="370" spans="9:27">
      <c r="I370" s="3" t="s">
        <v>1435</v>
      </c>
      <c r="J370" s="3" t="s">
        <v>1436</v>
      </c>
      <c r="AA370" s="97"/>
    </row>
    <row r="371" spans="9:27" ht="42.75" customHeight="1">
      <c r="I371" s="3" t="s">
        <v>1437</v>
      </c>
      <c r="J371" s="3" t="s">
        <v>1438</v>
      </c>
      <c r="AA371" s="97"/>
    </row>
    <row r="372" spans="9:27">
      <c r="I372" s="3" t="s">
        <v>1439</v>
      </c>
      <c r="J372" s="3" t="s">
        <v>1440</v>
      </c>
      <c r="AA372" s="97"/>
    </row>
    <row r="373" spans="9:27">
      <c r="I373" s="3" t="s">
        <v>1441</v>
      </c>
      <c r="J373" s="3" t="s">
        <v>1442</v>
      </c>
      <c r="AA373" s="97"/>
    </row>
    <row r="374" spans="9:27">
      <c r="I374" s="3" t="s">
        <v>1443</v>
      </c>
      <c r="J374" s="3" t="s">
        <v>1444</v>
      </c>
      <c r="AA374" s="97"/>
    </row>
    <row r="375" spans="9:27">
      <c r="I375" s="3" t="s">
        <v>1445</v>
      </c>
      <c r="J375" s="3" t="s">
        <v>1446</v>
      </c>
      <c r="AA375" s="97"/>
    </row>
    <row r="376" spans="9:27">
      <c r="I376" s="3" t="s">
        <v>1447</v>
      </c>
      <c r="J376" s="3" t="s">
        <v>1448</v>
      </c>
      <c r="AA376" s="97"/>
    </row>
    <row r="377" spans="9:27">
      <c r="I377" s="3" t="s">
        <v>1449</v>
      </c>
      <c r="J377" s="3" t="s">
        <v>1450</v>
      </c>
      <c r="AA377" s="97"/>
    </row>
    <row r="378" spans="9:27">
      <c r="I378" s="3" t="s">
        <v>1451</v>
      </c>
      <c r="J378" s="3" t="s">
        <v>1452</v>
      </c>
      <c r="AA378" s="97"/>
    </row>
    <row r="379" spans="9:27">
      <c r="I379" s="3" t="s">
        <v>1453</v>
      </c>
      <c r="J379" s="3" t="s">
        <v>1454</v>
      </c>
      <c r="AA379" s="97"/>
    </row>
    <row r="380" spans="9:27">
      <c r="I380" s="3" t="s">
        <v>1455</v>
      </c>
      <c r="J380" s="3" t="s">
        <v>1456</v>
      </c>
      <c r="AA380" s="97"/>
    </row>
    <row r="381" spans="9:27">
      <c r="I381" s="3" t="s">
        <v>1457</v>
      </c>
      <c r="J381" s="3" t="s">
        <v>1458</v>
      </c>
      <c r="AA381" s="97"/>
    </row>
    <row r="382" spans="9:27">
      <c r="I382" s="3" t="s">
        <v>1459</v>
      </c>
      <c r="J382" s="3" t="s">
        <v>1460</v>
      </c>
      <c r="AA382" s="97"/>
    </row>
    <row r="383" spans="9:27">
      <c r="I383" s="3" t="s">
        <v>1461</v>
      </c>
      <c r="J383" s="3" t="s">
        <v>1462</v>
      </c>
      <c r="AA383" s="97"/>
    </row>
    <row r="384" spans="9:27">
      <c r="I384" s="3" t="s">
        <v>1463</v>
      </c>
      <c r="J384" s="3" t="s">
        <v>1464</v>
      </c>
      <c r="AA384" s="97"/>
    </row>
    <row r="385" spans="9:27">
      <c r="I385" s="3" t="s">
        <v>1465</v>
      </c>
      <c r="J385" s="3" t="s">
        <v>1466</v>
      </c>
      <c r="AA385" s="97"/>
    </row>
    <row r="386" spans="9:27">
      <c r="I386" s="3" t="s">
        <v>1467</v>
      </c>
      <c r="J386" s="3" t="s">
        <v>1468</v>
      </c>
      <c r="AA386" s="97"/>
    </row>
    <row r="387" spans="9:27">
      <c r="I387" s="3" t="s">
        <v>1469</v>
      </c>
      <c r="J387" s="3" t="s">
        <v>1470</v>
      </c>
      <c r="AA387" s="97"/>
    </row>
    <row r="388" spans="9:27">
      <c r="I388" s="3" t="s">
        <v>1471</v>
      </c>
      <c r="J388" s="3" t="s">
        <v>1472</v>
      </c>
      <c r="AA388" s="97"/>
    </row>
    <row r="389" spans="9:27">
      <c r="I389" s="3" t="s">
        <v>1473</v>
      </c>
      <c r="J389" s="3" t="s">
        <v>1474</v>
      </c>
      <c r="AA389" s="97"/>
    </row>
    <row r="390" spans="9:27">
      <c r="I390" s="3" t="s">
        <v>1475</v>
      </c>
      <c r="J390" s="3" t="s">
        <v>1476</v>
      </c>
      <c r="AA390" s="97"/>
    </row>
    <row r="391" spans="9:27">
      <c r="I391" s="3" t="s">
        <v>1477</v>
      </c>
      <c r="J391" s="3" t="s">
        <v>1478</v>
      </c>
      <c r="AA391" s="97"/>
    </row>
    <row r="392" spans="9:27">
      <c r="I392" s="3" t="s">
        <v>1479</v>
      </c>
      <c r="J392" s="3" t="s">
        <v>1480</v>
      </c>
      <c r="AA392" s="97"/>
    </row>
    <row r="393" spans="9:27">
      <c r="I393" s="3" t="s">
        <v>1481</v>
      </c>
      <c r="J393" s="3" t="s">
        <v>1482</v>
      </c>
      <c r="AA393" s="97"/>
    </row>
    <row r="394" spans="9:27">
      <c r="I394" s="3" t="s">
        <v>1483</v>
      </c>
      <c r="J394" s="3" t="s">
        <v>1484</v>
      </c>
      <c r="AA394" s="97"/>
    </row>
    <row r="395" spans="9:27">
      <c r="I395" s="3" t="s">
        <v>1485</v>
      </c>
      <c r="J395" s="3" t="s">
        <v>1486</v>
      </c>
      <c r="AA395" s="97"/>
    </row>
    <row r="396" spans="9:27">
      <c r="I396" s="3" t="s">
        <v>1487</v>
      </c>
      <c r="J396" s="3" t="s">
        <v>1488</v>
      </c>
      <c r="AA396" s="97"/>
    </row>
    <row r="397" spans="9:27">
      <c r="I397" s="3" t="s">
        <v>1489</v>
      </c>
      <c r="J397" s="3" t="s">
        <v>1490</v>
      </c>
      <c r="AA397" s="97"/>
    </row>
    <row r="398" spans="9:27">
      <c r="I398" s="3" t="s">
        <v>1491</v>
      </c>
      <c r="J398" s="3" t="s">
        <v>1492</v>
      </c>
      <c r="AA398" s="97"/>
    </row>
    <row r="399" spans="9:27">
      <c r="I399" s="3" t="s">
        <v>1493</v>
      </c>
      <c r="J399" s="3" t="s">
        <v>1494</v>
      </c>
      <c r="AA399" s="97"/>
    </row>
    <row r="400" spans="9:27">
      <c r="I400" s="3" t="s">
        <v>1495</v>
      </c>
      <c r="J400" s="3" t="s">
        <v>1496</v>
      </c>
      <c r="AA400" s="97"/>
    </row>
    <row r="401" spans="9:27">
      <c r="I401" s="3" t="s">
        <v>1497</v>
      </c>
      <c r="J401" s="3" t="s">
        <v>1498</v>
      </c>
      <c r="AA401" s="97"/>
    </row>
    <row r="402" spans="9:27">
      <c r="I402" s="3" t="s">
        <v>1499</v>
      </c>
      <c r="J402" s="3" t="s">
        <v>1500</v>
      </c>
      <c r="AA402" s="97"/>
    </row>
    <row r="403" spans="9:27">
      <c r="I403" s="3" t="s">
        <v>1501</v>
      </c>
      <c r="J403" s="3" t="s">
        <v>1502</v>
      </c>
      <c r="AA403" s="97"/>
    </row>
    <row r="404" spans="9:27">
      <c r="I404" s="3" t="s">
        <v>1503</v>
      </c>
      <c r="J404" s="3" t="s">
        <v>1504</v>
      </c>
      <c r="AA404" s="97"/>
    </row>
    <row r="405" spans="9:27">
      <c r="I405" s="3" t="s">
        <v>1505</v>
      </c>
      <c r="J405" s="3" t="s">
        <v>1506</v>
      </c>
      <c r="AA405" s="97"/>
    </row>
    <row r="406" spans="9:27">
      <c r="I406" s="3" t="s">
        <v>1507</v>
      </c>
      <c r="J406" s="3" t="s">
        <v>1508</v>
      </c>
      <c r="AA406" s="97"/>
    </row>
    <row r="407" spans="9:27">
      <c r="I407" s="3" t="s">
        <v>1509</v>
      </c>
      <c r="J407" s="3" t="s">
        <v>1510</v>
      </c>
      <c r="AA407" s="97"/>
    </row>
    <row r="408" spans="9:27">
      <c r="I408" s="3" t="s">
        <v>1511</v>
      </c>
      <c r="J408" s="3" t="s">
        <v>1512</v>
      </c>
      <c r="AA408" s="97"/>
    </row>
    <row r="409" spans="9:27">
      <c r="I409" s="3" t="s">
        <v>1513</v>
      </c>
      <c r="J409" s="3" t="s">
        <v>1514</v>
      </c>
      <c r="AA409" s="97"/>
    </row>
    <row r="410" spans="9:27">
      <c r="I410" s="3" t="s">
        <v>1515</v>
      </c>
      <c r="J410" s="3" t="s">
        <v>1516</v>
      </c>
      <c r="AA410" s="97"/>
    </row>
    <row r="411" spans="9:27">
      <c r="I411" s="3" t="s">
        <v>1517</v>
      </c>
      <c r="J411" s="3" t="s">
        <v>1518</v>
      </c>
      <c r="AA411" s="97"/>
    </row>
    <row r="412" spans="9:27">
      <c r="I412" s="3" t="s">
        <v>1519</v>
      </c>
      <c r="J412" s="3" t="s">
        <v>1520</v>
      </c>
      <c r="AA412" s="97"/>
    </row>
    <row r="413" spans="9:27">
      <c r="I413" s="3" t="s">
        <v>1521</v>
      </c>
      <c r="J413" s="3" t="s">
        <v>1522</v>
      </c>
      <c r="AA413" s="97"/>
    </row>
    <row r="414" spans="9:27">
      <c r="I414" s="3" t="s">
        <v>1523</v>
      </c>
      <c r="J414" s="3" t="s">
        <v>1524</v>
      </c>
      <c r="AA414" s="97"/>
    </row>
    <row r="415" spans="9:27">
      <c r="I415" s="3" t="s">
        <v>1525</v>
      </c>
      <c r="J415" s="3" t="s">
        <v>1526</v>
      </c>
      <c r="AA415" s="97"/>
    </row>
    <row r="416" spans="9:27">
      <c r="I416" s="3" t="s">
        <v>1527</v>
      </c>
      <c r="J416" s="3" t="s">
        <v>1528</v>
      </c>
      <c r="AA416" s="97"/>
    </row>
    <row r="417" spans="9:27">
      <c r="I417" s="3" t="s">
        <v>1529</v>
      </c>
      <c r="J417" s="3" t="s">
        <v>1530</v>
      </c>
      <c r="AA417" s="97"/>
    </row>
    <row r="418" spans="9:27">
      <c r="I418" s="3" t="s">
        <v>1531</v>
      </c>
      <c r="J418" s="3" t="s">
        <v>1532</v>
      </c>
      <c r="AA418" s="97"/>
    </row>
    <row r="419" spans="9:27">
      <c r="I419" s="3" t="s">
        <v>1533</v>
      </c>
      <c r="J419" s="3" t="s">
        <v>1534</v>
      </c>
      <c r="AA419" s="97"/>
    </row>
    <row r="420" spans="9:27">
      <c r="I420" s="3" t="s">
        <v>1535</v>
      </c>
      <c r="J420" s="3" t="s">
        <v>1536</v>
      </c>
      <c r="AA420" s="97"/>
    </row>
    <row r="421" spans="9:27">
      <c r="I421" s="3" t="s">
        <v>1537</v>
      </c>
      <c r="J421" s="3" t="s">
        <v>1538</v>
      </c>
      <c r="AA421" s="97"/>
    </row>
    <row r="422" spans="9:27">
      <c r="I422" s="3" t="s">
        <v>1539</v>
      </c>
      <c r="J422" s="3" t="s">
        <v>1540</v>
      </c>
      <c r="AA422" s="97"/>
    </row>
    <row r="423" spans="9:27">
      <c r="I423" s="3" t="s">
        <v>1541</v>
      </c>
      <c r="J423" s="3" t="s">
        <v>1542</v>
      </c>
      <c r="AA423" s="97"/>
    </row>
    <row r="424" spans="9:27">
      <c r="I424" s="3" t="s">
        <v>1543</v>
      </c>
      <c r="J424" s="3" t="s">
        <v>1544</v>
      </c>
      <c r="AA424" s="97"/>
    </row>
    <row r="425" spans="9:27">
      <c r="I425" s="3" t="s">
        <v>1545</v>
      </c>
      <c r="J425" s="3" t="s">
        <v>1546</v>
      </c>
      <c r="AA425" s="97"/>
    </row>
    <row r="426" spans="9:27">
      <c r="I426" s="3" t="s">
        <v>1547</v>
      </c>
      <c r="J426" s="3" t="s">
        <v>1548</v>
      </c>
      <c r="AA426" s="97"/>
    </row>
    <row r="427" spans="9:27">
      <c r="I427" s="3" t="s">
        <v>1549</v>
      </c>
      <c r="J427" s="3" t="s">
        <v>1550</v>
      </c>
      <c r="AA427" s="97"/>
    </row>
    <row r="428" spans="9:27">
      <c r="I428" s="3" t="s">
        <v>1551</v>
      </c>
      <c r="J428" s="3" t="s">
        <v>1552</v>
      </c>
      <c r="AA428" s="97"/>
    </row>
    <row r="429" spans="9:27">
      <c r="I429" s="3" t="s">
        <v>1553</v>
      </c>
      <c r="J429" s="3" t="s">
        <v>1554</v>
      </c>
      <c r="AA429" s="97"/>
    </row>
    <row r="430" spans="9:27">
      <c r="I430" s="3" t="s">
        <v>1555</v>
      </c>
      <c r="J430" s="3" t="s">
        <v>1556</v>
      </c>
      <c r="AA430" s="97"/>
    </row>
    <row r="431" spans="9:27">
      <c r="I431" s="3" t="s">
        <v>1557</v>
      </c>
      <c r="J431" s="3" t="s">
        <v>1558</v>
      </c>
      <c r="AA431" s="97"/>
    </row>
    <row r="432" spans="9:27">
      <c r="I432" s="3" t="s">
        <v>1559</v>
      </c>
      <c r="J432" s="3" t="s">
        <v>1560</v>
      </c>
      <c r="AA432" s="97"/>
    </row>
    <row r="433" spans="9:27">
      <c r="I433" s="3" t="s">
        <v>1561</v>
      </c>
      <c r="J433" s="3" t="s">
        <v>1562</v>
      </c>
      <c r="AA433" s="97"/>
    </row>
    <row r="434" spans="9:27">
      <c r="I434" s="3" t="s">
        <v>1563</v>
      </c>
      <c r="J434" s="3" t="s">
        <v>1564</v>
      </c>
      <c r="AA434" s="97"/>
    </row>
    <row r="435" spans="9:27">
      <c r="I435" s="3" t="s">
        <v>1565</v>
      </c>
      <c r="J435" s="3" t="s">
        <v>1566</v>
      </c>
      <c r="AA435" s="97"/>
    </row>
    <row r="436" spans="9:27">
      <c r="I436" s="3" t="s">
        <v>1567</v>
      </c>
      <c r="J436" s="3" t="s">
        <v>1568</v>
      </c>
      <c r="AA436" s="97"/>
    </row>
    <row r="437" spans="9:27">
      <c r="I437" s="3" t="s">
        <v>1569</v>
      </c>
      <c r="J437" s="3" t="s">
        <v>1570</v>
      </c>
      <c r="AA437" s="97"/>
    </row>
    <row r="438" spans="9:27">
      <c r="I438" s="3" t="s">
        <v>1571</v>
      </c>
      <c r="J438" s="3" t="s">
        <v>1572</v>
      </c>
      <c r="AA438" s="97"/>
    </row>
    <row r="439" spans="9:27">
      <c r="I439" s="3" t="s">
        <v>1573</v>
      </c>
      <c r="J439" s="3" t="s">
        <v>1574</v>
      </c>
      <c r="AA439" s="97"/>
    </row>
    <row r="440" spans="9:27">
      <c r="I440" s="3" t="s">
        <v>1575</v>
      </c>
      <c r="J440" s="3" t="s">
        <v>1576</v>
      </c>
      <c r="AA440" s="97"/>
    </row>
    <row r="441" spans="9:27">
      <c r="I441" s="3" t="s">
        <v>1577</v>
      </c>
      <c r="J441" s="3" t="s">
        <v>1578</v>
      </c>
      <c r="AA441" s="97"/>
    </row>
    <row r="442" spans="9:27">
      <c r="I442" s="3" t="s">
        <v>1579</v>
      </c>
      <c r="J442" s="3" t="s">
        <v>1580</v>
      </c>
      <c r="AA442" s="97"/>
    </row>
    <row r="443" spans="9:27">
      <c r="I443" s="3" t="s">
        <v>1581</v>
      </c>
      <c r="J443" s="3" t="s">
        <v>1582</v>
      </c>
      <c r="AA443" s="97"/>
    </row>
    <row r="444" spans="9:27">
      <c r="I444" s="3" t="s">
        <v>1583</v>
      </c>
      <c r="J444" s="3" t="s">
        <v>1584</v>
      </c>
      <c r="AA444" s="97"/>
    </row>
    <row r="445" spans="9:27">
      <c r="I445" s="3" t="s">
        <v>1585</v>
      </c>
      <c r="J445" s="3" t="s">
        <v>1586</v>
      </c>
      <c r="AA445" s="97"/>
    </row>
    <row r="446" spans="9:27">
      <c r="I446" s="3" t="s">
        <v>1587</v>
      </c>
      <c r="J446" s="3" t="s">
        <v>1588</v>
      </c>
      <c r="AA446" s="97"/>
    </row>
    <row r="447" spans="9:27">
      <c r="I447" s="3" t="s">
        <v>1589</v>
      </c>
      <c r="J447" s="3" t="s">
        <v>1590</v>
      </c>
      <c r="AA447" s="97"/>
    </row>
    <row r="448" spans="9:27">
      <c r="I448" s="3" t="s">
        <v>1591</v>
      </c>
      <c r="J448" s="3" t="s">
        <v>1592</v>
      </c>
      <c r="AA448" s="97"/>
    </row>
    <row r="449" spans="9:27">
      <c r="I449" s="3" t="s">
        <v>1593</v>
      </c>
      <c r="J449" s="3" t="s">
        <v>1594</v>
      </c>
      <c r="AA449" s="97"/>
    </row>
    <row r="450" spans="9:27">
      <c r="I450" s="3" t="s">
        <v>1595</v>
      </c>
      <c r="J450" s="3" t="s">
        <v>1596</v>
      </c>
      <c r="AA450" s="97"/>
    </row>
    <row r="451" spans="9:27">
      <c r="I451" s="3" t="s">
        <v>1597</v>
      </c>
      <c r="J451" s="3" t="s">
        <v>1598</v>
      </c>
      <c r="AA451" s="97"/>
    </row>
    <row r="452" spans="9:27">
      <c r="I452" s="3" t="s">
        <v>1599</v>
      </c>
      <c r="J452" s="3" t="s">
        <v>1600</v>
      </c>
      <c r="AA452" s="97"/>
    </row>
    <row r="453" spans="9:27">
      <c r="I453" s="3" t="s">
        <v>1601</v>
      </c>
      <c r="J453" s="3" t="s">
        <v>1602</v>
      </c>
      <c r="AA453" s="97"/>
    </row>
    <row r="454" spans="9:27">
      <c r="I454" s="3" t="s">
        <v>1603</v>
      </c>
      <c r="J454" s="3" t="s">
        <v>1604</v>
      </c>
      <c r="AA454" s="97"/>
    </row>
    <row r="455" spans="9:27">
      <c r="I455" s="3" t="s">
        <v>1605</v>
      </c>
      <c r="J455" s="3" t="s">
        <v>1606</v>
      </c>
      <c r="AA455" s="97"/>
    </row>
    <row r="456" spans="9:27">
      <c r="I456" s="3" t="s">
        <v>1607</v>
      </c>
      <c r="J456" s="3" t="s">
        <v>1608</v>
      </c>
      <c r="AA456" s="97"/>
    </row>
    <row r="457" spans="9:27">
      <c r="I457" s="3" t="s">
        <v>1609</v>
      </c>
      <c r="J457" s="3" t="s">
        <v>1610</v>
      </c>
      <c r="AA457" s="97"/>
    </row>
    <row r="458" spans="9:27">
      <c r="I458" s="3" t="s">
        <v>1611</v>
      </c>
      <c r="J458" s="3" t="s">
        <v>1612</v>
      </c>
      <c r="AA458" s="97"/>
    </row>
    <row r="459" spans="9:27">
      <c r="I459" s="3" t="s">
        <v>1613</v>
      </c>
      <c r="J459" s="3" t="s">
        <v>1614</v>
      </c>
      <c r="AA459" s="97"/>
    </row>
    <row r="460" spans="9:27">
      <c r="I460" s="3" t="s">
        <v>1615</v>
      </c>
      <c r="J460" s="3" t="s">
        <v>1616</v>
      </c>
      <c r="AA460" s="97"/>
    </row>
    <row r="461" spans="9:27">
      <c r="I461" s="3" t="s">
        <v>1617</v>
      </c>
      <c r="J461" s="3" t="s">
        <v>1618</v>
      </c>
      <c r="AA461" s="97"/>
    </row>
    <row r="462" spans="9:27">
      <c r="I462" s="3" t="s">
        <v>1619</v>
      </c>
      <c r="J462" s="3" t="s">
        <v>1620</v>
      </c>
      <c r="AA462" s="97"/>
    </row>
    <row r="463" spans="9:27">
      <c r="I463" s="3" t="s">
        <v>1621</v>
      </c>
      <c r="J463" s="3" t="s">
        <v>1622</v>
      </c>
      <c r="AA463" s="97"/>
    </row>
    <row r="464" spans="9:27">
      <c r="I464" s="3" t="s">
        <v>1623</v>
      </c>
      <c r="J464" s="3" t="s">
        <v>1624</v>
      </c>
      <c r="AA464" s="97"/>
    </row>
    <row r="465" spans="9:27">
      <c r="I465" s="3" t="s">
        <v>1625</v>
      </c>
      <c r="J465" s="3" t="s">
        <v>1626</v>
      </c>
      <c r="AA465" s="97"/>
    </row>
    <row r="466" spans="9:27">
      <c r="I466" s="3" t="s">
        <v>1627</v>
      </c>
      <c r="J466" s="3" t="s">
        <v>1628</v>
      </c>
      <c r="AA466" s="97"/>
    </row>
    <row r="467" spans="9:27">
      <c r="I467" s="3" t="s">
        <v>1629</v>
      </c>
      <c r="J467" s="3" t="s">
        <v>1630</v>
      </c>
      <c r="AA467" s="97"/>
    </row>
    <row r="468" spans="9:27">
      <c r="I468" s="3" t="s">
        <v>1631</v>
      </c>
      <c r="J468" s="3" t="s">
        <v>1632</v>
      </c>
      <c r="AA468" s="97"/>
    </row>
    <row r="469" spans="9:27">
      <c r="I469" s="3" t="s">
        <v>1633</v>
      </c>
      <c r="J469" s="3" t="s">
        <v>1634</v>
      </c>
      <c r="AA469" s="97"/>
    </row>
    <row r="470" spans="9:27">
      <c r="I470" s="3" t="s">
        <v>1635</v>
      </c>
      <c r="J470" s="3" t="s">
        <v>1636</v>
      </c>
      <c r="AA470" s="97"/>
    </row>
    <row r="471" spans="9:27">
      <c r="I471" s="3" t="s">
        <v>1637</v>
      </c>
      <c r="J471" s="3" t="s">
        <v>1638</v>
      </c>
      <c r="AA471" s="97"/>
    </row>
    <row r="472" spans="9:27">
      <c r="I472" s="3" t="s">
        <v>1639</v>
      </c>
      <c r="J472" s="3" t="s">
        <v>1640</v>
      </c>
      <c r="AA472" s="97"/>
    </row>
    <row r="473" spans="9:27">
      <c r="I473" s="3" t="s">
        <v>1641</v>
      </c>
      <c r="J473" s="3" t="s">
        <v>1642</v>
      </c>
      <c r="AA473" s="97"/>
    </row>
    <row r="474" spans="9:27">
      <c r="I474" s="3" t="s">
        <v>1643</v>
      </c>
      <c r="J474" s="3" t="s">
        <v>1644</v>
      </c>
      <c r="AA474" s="97"/>
    </row>
    <row r="475" spans="9:27">
      <c r="I475" s="3" t="s">
        <v>1645</v>
      </c>
      <c r="J475" s="3" t="s">
        <v>1646</v>
      </c>
      <c r="AA475" s="97"/>
    </row>
    <row r="476" spans="9:27">
      <c r="I476" s="3" t="s">
        <v>1647</v>
      </c>
      <c r="J476" s="3" t="s">
        <v>1648</v>
      </c>
      <c r="AA476" s="97"/>
    </row>
    <row r="477" spans="9:27">
      <c r="I477" s="3" t="s">
        <v>1649</v>
      </c>
      <c r="J477" s="3" t="s">
        <v>1650</v>
      </c>
      <c r="AA477" s="97"/>
    </row>
    <row r="478" spans="9:27">
      <c r="I478" s="3" t="s">
        <v>1651</v>
      </c>
      <c r="J478" s="3" t="s">
        <v>1652</v>
      </c>
      <c r="AA478" s="97"/>
    </row>
    <row r="479" spans="9:27">
      <c r="I479" s="3" t="s">
        <v>1653</v>
      </c>
      <c r="J479" s="3" t="s">
        <v>1654</v>
      </c>
      <c r="AA479" s="97"/>
    </row>
    <row r="480" spans="9:27">
      <c r="I480" s="3" t="s">
        <v>1655</v>
      </c>
      <c r="J480" s="3" t="s">
        <v>1656</v>
      </c>
      <c r="AA480" s="97"/>
    </row>
    <row r="481" spans="9:27">
      <c r="I481" s="3" t="s">
        <v>1657</v>
      </c>
      <c r="J481" s="3" t="s">
        <v>1658</v>
      </c>
      <c r="AA481" s="97"/>
    </row>
    <row r="482" spans="9:27">
      <c r="I482" s="3" t="s">
        <v>1659</v>
      </c>
      <c r="J482" s="3" t="s">
        <v>1660</v>
      </c>
      <c r="AA482" s="97"/>
    </row>
    <row r="483" spans="9:27">
      <c r="I483" s="3" t="s">
        <v>1661</v>
      </c>
      <c r="J483" s="3" t="s">
        <v>1662</v>
      </c>
      <c r="AA483" s="97"/>
    </row>
    <row r="484" spans="9:27">
      <c r="I484" s="105" t="s">
        <v>1663</v>
      </c>
      <c r="J484" s="3" t="s">
        <v>1664</v>
      </c>
      <c r="AA484" s="97"/>
    </row>
    <row r="485" spans="9:27">
      <c r="I485" s="105" t="s">
        <v>1665</v>
      </c>
      <c r="J485" s="3" t="s">
        <v>1666</v>
      </c>
      <c r="AA485" s="97"/>
    </row>
    <row r="486" spans="9:27">
      <c r="I486" s="105" t="s">
        <v>1667</v>
      </c>
      <c r="J486" s="3" t="s">
        <v>1668</v>
      </c>
      <c r="AA486" s="97"/>
    </row>
    <row r="487" spans="9:27">
      <c r="I487" s="105" t="s">
        <v>1669</v>
      </c>
      <c r="J487" s="3" t="s">
        <v>1670</v>
      </c>
      <c r="AA487" s="97"/>
    </row>
    <row r="488" spans="9:27">
      <c r="I488" s="105" t="s">
        <v>1671</v>
      </c>
      <c r="J488" s="3" t="s">
        <v>1672</v>
      </c>
      <c r="AA488" s="97"/>
    </row>
    <row r="489" spans="9:27">
      <c r="I489" s="105" t="s">
        <v>1673</v>
      </c>
      <c r="J489" s="3" t="s">
        <v>1674</v>
      </c>
      <c r="AA489" s="97"/>
    </row>
    <row r="490" spans="9:27">
      <c r="I490" s="105" t="s">
        <v>1675</v>
      </c>
      <c r="J490" s="3" t="s">
        <v>1676</v>
      </c>
      <c r="AA490" s="97"/>
    </row>
    <row r="491" spans="9:27">
      <c r="I491" s="3" t="s">
        <v>1677</v>
      </c>
      <c r="J491" s="3" t="s">
        <v>1678</v>
      </c>
      <c r="AA491" s="97"/>
    </row>
    <row r="492" spans="9:27">
      <c r="I492" s="3" t="s">
        <v>1679</v>
      </c>
      <c r="J492" s="3" t="s">
        <v>1680</v>
      </c>
      <c r="AA492" s="97"/>
    </row>
    <row r="493" spans="9:27">
      <c r="I493" s="3" t="s">
        <v>1681</v>
      </c>
      <c r="J493" s="3" t="s">
        <v>1682</v>
      </c>
      <c r="AA493" s="97"/>
    </row>
    <row r="494" spans="9:27">
      <c r="I494" s="3" t="s">
        <v>1683</v>
      </c>
      <c r="J494" s="3" t="s">
        <v>1684</v>
      </c>
      <c r="AA494" s="97"/>
    </row>
    <row r="495" spans="9:27">
      <c r="I495" s="3" t="s">
        <v>1685</v>
      </c>
      <c r="J495" s="3" t="s">
        <v>1686</v>
      </c>
      <c r="AA495" s="97"/>
    </row>
    <row r="496" spans="9:27">
      <c r="I496" s="3" t="s">
        <v>1687</v>
      </c>
      <c r="J496" s="3" t="s">
        <v>1688</v>
      </c>
      <c r="AA496" s="97"/>
    </row>
    <row r="497" spans="9:27">
      <c r="I497" s="3" t="s">
        <v>1689</v>
      </c>
      <c r="J497" s="3" t="s">
        <v>1690</v>
      </c>
      <c r="AA497" s="97"/>
    </row>
    <row r="498" spans="9:27">
      <c r="I498" s="3" t="s">
        <v>1691</v>
      </c>
      <c r="J498" s="3" t="s">
        <v>1692</v>
      </c>
      <c r="AA498" s="97"/>
    </row>
    <row r="499" spans="9:27">
      <c r="I499" s="3" t="s">
        <v>1693</v>
      </c>
      <c r="J499" s="3" t="s">
        <v>1694</v>
      </c>
      <c r="AA499" s="97"/>
    </row>
    <row r="500" spans="9:27">
      <c r="I500" s="3" t="s">
        <v>1695</v>
      </c>
      <c r="J500" s="3" t="s">
        <v>1696</v>
      </c>
      <c r="AA500" s="97"/>
    </row>
    <row r="501" spans="9:27">
      <c r="I501" s="3" t="s">
        <v>1697</v>
      </c>
      <c r="J501" s="3" t="s">
        <v>1698</v>
      </c>
      <c r="AA501" s="97"/>
    </row>
    <row r="502" spans="9:27">
      <c r="I502" s="3" t="s">
        <v>1699</v>
      </c>
      <c r="J502" s="3" t="s">
        <v>1700</v>
      </c>
      <c r="AA502" s="97"/>
    </row>
    <row r="503" spans="9:27">
      <c r="I503" s="3" t="s">
        <v>1701</v>
      </c>
      <c r="J503" s="3" t="s">
        <v>1702</v>
      </c>
      <c r="AA503" s="97"/>
    </row>
    <row r="504" spans="9:27">
      <c r="I504" s="3" t="s">
        <v>1703</v>
      </c>
      <c r="J504" s="3" t="s">
        <v>1704</v>
      </c>
      <c r="AA504" s="97"/>
    </row>
    <row r="505" spans="9:27">
      <c r="I505" s="3" t="s">
        <v>1705</v>
      </c>
      <c r="J505" s="3" t="s">
        <v>1706</v>
      </c>
      <c r="AA505" s="97"/>
    </row>
    <row r="506" spans="9:27">
      <c r="I506" s="3" t="s">
        <v>1707</v>
      </c>
      <c r="J506" s="3" t="s">
        <v>1708</v>
      </c>
      <c r="AA506" s="97"/>
    </row>
    <row r="507" spans="9:27">
      <c r="I507" s="3" t="s">
        <v>1709</v>
      </c>
      <c r="J507" s="3" t="s">
        <v>1710</v>
      </c>
      <c r="AA507" s="97"/>
    </row>
    <row r="508" spans="9:27">
      <c r="I508" s="3" t="s">
        <v>1711</v>
      </c>
      <c r="J508" s="3" t="s">
        <v>1712</v>
      </c>
      <c r="AA508" s="97"/>
    </row>
    <row r="509" spans="9:27">
      <c r="I509" s="3" t="s">
        <v>1713</v>
      </c>
      <c r="J509" s="3" t="s">
        <v>1714</v>
      </c>
      <c r="AA509" s="97"/>
    </row>
    <row r="510" spans="9:27">
      <c r="I510" s="3" t="s">
        <v>1715</v>
      </c>
      <c r="J510" s="3" t="s">
        <v>1716</v>
      </c>
      <c r="AA510" s="97"/>
    </row>
    <row r="511" spans="9:27">
      <c r="I511" s="3" t="s">
        <v>1717</v>
      </c>
      <c r="J511" s="3" t="s">
        <v>1718</v>
      </c>
      <c r="AA511" s="97"/>
    </row>
    <row r="512" spans="9:27">
      <c r="I512" s="3" t="s">
        <v>1719</v>
      </c>
      <c r="J512" s="3" t="s">
        <v>1720</v>
      </c>
      <c r="AA512" s="97"/>
    </row>
    <row r="513" spans="9:27">
      <c r="I513" s="3" t="s">
        <v>1721</v>
      </c>
      <c r="J513" s="3" t="s">
        <v>1722</v>
      </c>
      <c r="AA513" s="97"/>
    </row>
    <row r="514" spans="9:27">
      <c r="I514" s="3" t="s">
        <v>1723</v>
      </c>
      <c r="J514" s="3" t="s">
        <v>1724</v>
      </c>
      <c r="AA514" s="97"/>
    </row>
    <row r="515" spans="9:27">
      <c r="I515" s="3" t="s">
        <v>1725</v>
      </c>
      <c r="J515" s="3" t="s">
        <v>1726</v>
      </c>
      <c r="AA515" s="97"/>
    </row>
    <row r="516" spans="9:27">
      <c r="I516" s="3" t="s">
        <v>1727</v>
      </c>
      <c r="J516" s="3" t="s">
        <v>1728</v>
      </c>
      <c r="AA516" s="97"/>
    </row>
    <row r="517" spans="9:27">
      <c r="I517" s="3" t="s">
        <v>1729</v>
      </c>
      <c r="J517" s="3" t="s">
        <v>1730</v>
      </c>
      <c r="AA517" s="97"/>
    </row>
    <row r="518" spans="9:27">
      <c r="I518" s="3" t="s">
        <v>1731</v>
      </c>
      <c r="J518" s="3" t="s">
        <v>1732</v>
      </c>
      <c r="AA518" s="97"/>
    </row>
    <row r="519" spans="9:27">
      <c r="I519" s="3" t="s">
        <v>1733</v>
      </c>
      <c r="J519" s="3" t="s">
        <v>1734</v>
      </c>
      <c r="AA519" s="97"/>
    </row>
    <row r="520" spans="9:27">
      <c r="I520" s="3" t="s">
        <v>1735</v>
      </c>
      <c r="J520" s="3" t="s">
        <v>1736</v>
      </c>
      <c r="AA520" s="97"/>
    </row>
    <row r="521" spans="9:27">
      <c r="I521" s="3" t="s">
        <v>1737</v>
      </c>
      <c r="J521" s="3" t="s">
        <v>1738</v>
      </c>
      <c r="AA521" s="97"/>
    </row>
    <row r="522" spans="9:27">
      <c r="I522" s="3" t="s">
        <v>1739</v>
      </c>
      <c r="J522" s="3" t="s">
        <v>1740</v>
      </c>
      <c r="AA522" s="97"/>
    </row>
    <row r="523" spans="9:27">
      <c r="I523" s="3" t="s">
        <v>1741</v>
      </c>
      <c r="J523" s="3" t="s">
        <v>1742</v>
      </c>
      <c r="AA523" s="97"/>
    </row>
    <row r="524" spans="9:27">
      <c r="I524" s="3" t="s">
        <v>1743</v>
      </c>
      <c r="J524" s="3" t="s">
        <v>1744</v>
      </c>
      <c r="AA524" s="97"/>
    </row>
    <row r="525" spans="9:27">
      <c r="I525" s="3" t="s">
        <v>1745</v>
      </c>
      <c r="J525" s="3" t="s">
        <v>1746</v>
      </c>
      <c r="AA525" s="97"/>
    </row>
    <row r="526" spans="9:27">
      <c r="I526" s="3" t="s">
        <v>1747</v>
      </c>
      <c r="J526" s="3" t="s">
        <v>1748</v>
      </c>
      <c r="AA526" s="97"/>
    </row>
    <row r="527" spans="9:27">
      <c r="I527" s="3" t="s">
        <v>1749</v>
      </c>
      <c r="J527" s="3" t="s">
        <v>1750</v>
      </c>
      <c r="AA527" s="97"/>
    </row>
    <row r="528" spans="9:27">
      <c r="I528" s="3" t="s">
        <v>1751</v>
      </c>
      <c r="J528" s="3" t="s">
        <v>1752</v>
      </c>
      <c r="AA528" s="97"/>
    </row>
    <row r="529" spans="9:27">
      <c r="I529" s="3" t="s">
        <v>1753</v>
      </c>
      <c r="J529" s="3" t="s">
        <v>1754</v>
      </c>
      <c r="AA529" s="97"/>
    </row>
    <row r="530" spans="9:27">
      <c r="I530" s="3" t="s">
        <v>1755</v>
      </c>
      <c r="J530" s="3" t="s">
        <v>1756</v>
      </c>
      <c r="AA530" s="97"/>
    </row>
    <row r="531" spans="9:27">
      <c r="I531" s="3" t="s">
        <v>1757</v>
      </c>
      <c r="J531" s="3" t="s">
        <v>1758</v>
      </c>
      <c r="AA531" s="97"/>
    </row>
    <row r="532" spans="9:27">
      <c r="I532" s="3" t="s">
        <v>1759</v>
      </c>
      <c r="J532" s="3" t="s">
        <v>1760</v>
      </c>
      <c r="AA532" s="97"/>
    </row>
    <row r="533" spans="9:27">
      <c r="I533" s="3" t="s">
        <v>1761</v>
      </c>
      <c r="J533" s="3" t="s">
        <v>1762</v>
      </c>
      <c r="AA533" s="97"/>
    </row>
    <row r="534" spans="9:27">
      <c r="I534" s="3" t="s">
        <v>1763</v>
      </c>
      <c r="J534" s="3" t="s">
        <v>1764</v>
      </c>
      <c r="AA534" s="97"/>
    </row>
    <row r="535" spans="9:27">
      <c r="I535" s="3" t="s">
        <v>1765</v>
      </c>
      <c r="J535" s="3" t="s">
        <v>1766</v>
      </c>
      <c r="AA535" s="97"/>
    </row>
    <row r="536" spans="9:27">
      <c r="I536" s="3" t="s">
        <v>1767</v>
      </c>
      <c r="J536" s="3" t="s">
        <v>1768</v>
      </c>
      <c r="AA536" s="97"/>
    </row>
    <row r="537" spans="9:27">
      <c r="I537" s="3" t="s">
        <v>1769</v>
      </c>
      <c r="J537" s="3" t="s">
        <v>1770</v>
      </c>
      <c r="AA537" s="97"/>
    </row>
    <row r="538" spans="9:27">
      <c r="I538" s="3" t="s">
        <v>1771</v>
      </c>
      <c r="J538" s="3" t="s">
        <v>1772</v>
      </c>
      <c r="AA538" s="97"/>
    </row>
    <row r="539" spans="9:27">
      <c r="I539" s="3" t="s">
        <v>1773</v>
      </c>
      <c r="J539" s="3" t="s">
        <v>1774</v>
      </c>
      <c r="AA539" s="97"/>
    </row>
    <row r="540" spans="9:27">
      <c r="I540" s="3" t="s">
        <v>1775</v>
      </c>
      <c r="J540" s="3" t="s">
        <v>1776</v>
      </c>
      <c r="AA540" s="97"/>
    </row>
    <row r="541" spans="9:27">
      <c r="I541" s="3" t="s">
        <v>1777</v>
      </c>
      <c r="J541" s="3" t="s">
        <v>1778</v>
      </c>
      <c r="AA541" s="97"/>
    </row>
    <row r="542" spans="9:27">
      <c r="I542" s="3" t="s">
        <v>1779</v>
      </c>
      <c r="J542" s="3" t="s">
        <v>1780</v>
      </c>
      <c r="AA542" s="97"/>
    </row>
    <row r="543" spans="9:27">
      <c r="I543" s="3" t="s">
        <v>1781</v>
      </c>
      <c r="J543" s="3" t="s">
        <v>1782</v>
      </c>
      <c r="AA543" s="97"/>
    </row>
    <row r="544" spans="9:27">
      <c r="I544" s="3" t="s">
        <v>1783</v>
      </c>
      <c r="J544" s="3" t="s">
        <v>1784</v>
      </c>
      <c r="AA544" s="97"/>
    </row>
    <row r="545" spans="9:27">
      <c r="I545" s="3" t="s">
        <v>1785</v>
      </c>
      <c r="J545" s="3" t="s">
        <v>1786</v>
      </c>
      <c r="AA545" s="97"/>
    </row>
    <row r="546" spans="9:27">
      <c r="I546" s="3" t="s">
        <v>1787</v>
      </c>
      <c r="J546" s="3" t="s">
        <v>1788</v>
      </c>
      <c r="AA546" s="97"/>
    </row>
    <row r="547" spans="9:27">
      <c r="I547" s="3" t="s">
        <v>1789</v>
      </c>
      <c r="J547" s="3" t="s">
        <v>1790</v>
      </c>
      <c r="AA547" s="97"/>
    </row>
    <row r="548" spans="9:27">
      <c r="I548" s="3" t="s">
        <v>1791</v>
      </c>
      <c r="J548" s="3" t="s">
        <v>1792</v>
      </c>
      <c r="AA548" s="97"/>
    </row>
    <row r="549" spans="9:27">
      <c r="I549" s="3" t="s">
        <v>1793</v>
      </c>
      <c r="J549" s="3" t="s">
        <v>1794</v>
      </c>
      <c r="AA549" s="97"/>
    </row>
    <row r="550" spans="9:27">
      <c r="I550" s="3" t="s">
        <v>1795</v>
      </c>
      <c r="J550" s="3" t="s">
        <v>1796</v>
      </c>
      <c r="AA550" s="97"/>
    </row>
    <row r="551" spans="9:27">
      <c r="I551" s="3" t="s">
        <v>1797</v>
      </c>
      <c r="J551" s="3" t="s">
        <v>1798</v>
      </c>
      <c r="AA551" s="97"/>
    </row>
    <row r="552" spans="9:27">
      <c r="I552" s="3" t="s">
        <v>1799</v>
      </c>
      <c r="J552" s="3" t="s">
        <v>1800</v>
      </c>
      <c r="AA552" s="97"/>
    </row>
    <row r="553" spans="9:27">
      <c r="I553" s="3" t="s">
        <v>1801</v>
      </c>
      <c r="J553" s="3" t="s">
        <v>1802</v>
      </c>
      <c r="AA553" s="97"/>
    </row>
    <row r="554" spans="9:27">
      <c r="I554" s="3" t="s">
        <v>1803</v>
      </c>
      <c r="J554" s="3" t="s">
        <v>1804</v>
      </c>
      <c r="AA554" s="97"/>
    </row>
    <row r="555" spans="9:27">
      <c r="I555" s="3" t="s">
        <v>1805</v>
      </c>
      <c r="J555" s="3" t="s">
        <v>1806</v>
      </c>
      <c r="AA555" s="97"/>
    </row>
    <row r="556" spans="9:27">
      <c r="I556" s="3" t="s">
        <v>1807</v>
      </c>
      <c r="J556" s="3" t="s">
        <v>1808</v>
      </c>
      <c r="AA556" s="97"/>
    </row>
    <row r="557" spans="9:27">
      <c r="I557" s="3" t="s">
        <v>1809</v>
      </c>
      <c r="J557" s="3" t="s">
        <v>1810</v>
      </c>
      <c r="AA557" s="97"/>
    </row>
    <row r="558" spans="9:27">
      <c r="I558" s="3" t="s">
        <v>1811</v>
      </c>
      <c r="J558" s="3" t="s">
        <v>1812</v>
      </c>
      <c r="AA558" s="97"/>
    </row>
    <row r="559" spans="9:27">
      <c r="I559" s="3" t="s">
        <v>1813</v>
      </c>
      <c r="J559" s="3" t="s">
        <v>1814</v>
      </c>
      <c r="AA559" s="97"/>
    </row>
    <row r="560" spans="9:27">
      <c r="I560" s="3" t="s">
        <v>1815</v>
      </c>
      <c r="J560" s="3" t="s">
        <v>1816</v>
      </c>
      <c r="AA560" s="97"/>
    </row>
    <row r="561" spans="9:27">
      <c r="I561" s="3" t="s">
        <v>1817</v>
      </c>
      <c r="J561" s="3" t="s">
        <v>1818</v>
      </c>
      <c r="AA561" s="97"/>
    </row>
    <row r="562" spans="9:27">
      <c r="I562" s="3" t="s">
        <v>1819</v>
      </c>
      <c r="J562" s="3" t="s">
        <v>1820</v>
      </c>
      <c r="AA562" s="97"/>
    </row>
    <row r="563" spans="9:27">
      <c r="I563" s="3" t="s">
        <v>1821</v>
      </c>
      <c r="J563" s="3" t="s">
        <v>1822</v>
      </c>
      <c r="AA563" s="97"/>
    </row>
    <row r="564" spans="9:27">
      <c r="I564" s="3" t="s">
        <v>1823</v>
      </c>
      <c r="J564" s="3" t="s">
        <v>1824</v>
      </c>
      <c r="AA564" s="97"/>
    </row>
    <row r="565" spans="9:27">
      <c r="I565" s="3" t="s">
        <v>1825</v>
      </c>
      <c r="J565" s="3" t="s">
        <v>1826</v>
      </c>
      <c r="AA565" s="97"/>
    </row>
    <row r="566" spans="9:27">
      <c r="I566" s="3" t="s">
        <v>1827</v>
      </c>
      <c r="J566" s="3" t="s">
        <v>1828</v>
      </c>
      <c r="AA566" s="97"/>
    </row>
    <row r="567" spans="9:27">
      <c r="I567" s="3" t="s">
        <v>1829</v>
      </c>
      <c r="J567" s="3" t="s">
        <v>1830</v>
      </c>
      <c r="AA567" s="97"/>
    </row>
    <row r="568" spans="9:27">
      <c r="I568" s="3" t="s">
        <v>1831</v>
      </c>
      <c r="J568" s="3" t="s">
        <v>1832</v>
      </c>
      <c r="AA568" s="97"/>
    </row>
    <row r="569" spans="9:27">
      <c r="I569" s="3" t="s">
        <v>1833</v>
      </c>
      <c r="J569" s="3" t="s">
        <v>1834</v>
      </c>
      <c r="AA569" s="97"/>
    </row>
    <row r="570" spans="9:27">
      <c r="I570" s="3" t="s">
        <v>1835</v>
      </c>
      <c r="J570" s="3" t="s">
        <v>1836</v>
      </c>
      <c r="AA570" s="97"/>
    </row>
    <row r="571" spans="9:27">
      <c r="I571" s="3" t="s">
        <v>1837</v>
      </c>
      <c r="J571" s="3" t="s">
        <v>1838</v>
      </c>
      <c r="AA571" s="97"/>
    </row>
    <row r="572" spans="9:27">
      <c r="I572" s="3" t="s">
        <v>1839</v>
      </c>
      <c r="J572" s="3" t="s">
        <v>1840</v>
      </c>
      <c r="AA572" s="97"/>
    </row>
    <row r="573" spans="9:27">
      <c r="I573" s="3" t="s">
        <v>1841</v>
      </c>
      <c r="J573" s="3" t="s">
        <v>1842</v>
      </c>
      <c r="AA573" s="97"/>
    </row>
    <row r="574" spans="9:27">
      <c r="I574" s="3" t="s">
        <v>1843</v>
      </c>
      <c r="J574" s="3" t="s">
        <v>1844</v>
      </c>
      <c r="AA574" s="97"/>
    </row>
    <row r="575" spans="9:27">
      <c r="I575" s="3" t="s">
        <v>1845</v>
      </c>
      <c r="J575" s="3" t="s">
        <v>1846</v>
      </c>
      <c r="AA575" s="97"/>
    </row>
    <row r="576" spans="9:27">
      <c r="I576" s="3" t="s">
        <v>1847</v>
      </c>
      <c r="J576" s="3" t="s">
        <v>1848</v>
      </c>
      <c r="AA576" s="97"/>
    </row>
    <row r="577" spans="9:27">
      <c r="I577" s="3" t="s">
        <v>1849</v>
      </c>
      <c r="J577" s="3" t="s">
        <v>1850</v>
      </c>
      <c r="AA577" s="97"/>
    </row>
    <row r="578" spans="9:27">
      <c r="I578" s="3" t="s">
        <v>1851</v>
      </c>
      <c r="J578" s="3" t="s">
        <v>1852</v>
      </c>
      <c r="AA578" s="97"/>
    </row>
    <row r="579" spans="9:27">
      <c r="I579" s="3" t="s">
        <v>1853</v>
      </c>
      <c r="J579" s="3" t="s">
        <v>1854</v>
      </c>
      <c r="AA579" s="97"/>
    </row>
    <row r="580" spans="9:27">
      <c r="I580" s="3" t="s">
        <v>1855</v>
      </c>
      <c r="J580" s="3" t="s">
        <v>1856</v>
      </c>
      <c r="AA580" s="97"/>
    </row>
    <row r="581" spans="9:27">
      <c r="I581" s="3" t="s">
        <v>1857</v>
      </c>
      <c r="J581" s="3" t="s">
        <v>1858</v>
      </c>
      <c r="AA581" s="97"/>
    </row>
    <row r="582" spans="9:27">
      <c r="I582" s="3" t="s">
        <v>1859</v>
      </c>
      <c r="J582" s="3" t="s">
        <v>1860</v>
      </c>
      <c r="AA582" s="97"/>
    </row>
    <row r="583" spans="9:27">
      <c r="I583" s="3" t="s">
        <v>1861</v>
      </c>
      <c r="J583" s="3" t="s">
        <v>1862</v>
      </c>
      <c r="AA583" s="97"/>
    </row>
    <row r="584" spans="9:27">
      <c r="I584" s="3" t="s">
        <v>1863</v>
      </c>
      <c r="J584" s="3" t="s">
        <v>1864</v>
      </c>
      <c r="AA584" s="97"/>
    </row>
    <row r="585" spans="9:27">
      <c r="I585" s="3" t="s">
        <v>1865</v>
      </c>
      <c r="J585" s="3" t="s">
        <v>1866</v>
      </c>
      <c r="AA585" s="97"/>
    </row>
    <row r="586" spans="9:27">
      <c r="I586" s="3" t="s">
        <v>1867</v>
      </c>
      <c r="J586" s="3" t="s">
        <v>1868</v>
      </c>
      <c r="AA586" s="97"/>
    </row>
    <row r="587" spans="9:27">
      <c r="I587" s="3" t="s">
        <v>1869</v>
      </c>
      <c r="J587" s="3" t="s">
        <v>1870</v>
      </c>
      <c r="AA587" s="97"/>
    </row>
    <row r="588" spans="9:27">
      <c r="I588" s="3" t="s">
        <v>1871</v>
      </c>
      <c r="J588" s="3" t="s">
        <v>1872</v>
      </c>
      <c r="AA588" s="97"/>
    </row>
    <row r="589" spans="9:27">
      <c r="I589" s="3" t="s">
        <v>1873</v>
      </c>
      <c r="J589" s="3" t="s">
        <v>1874</v>
      </c>
      <c r="AA589" s="97"/>
    </row>
    <row r="590" spans="9:27">
      <c r="I590" s="3" t="s">
        <v>1875</v>
      </c>
      <c r="J590" s="3" t="s">
        <v>1876</v>
      </c>
      <c r="AA590" s="97"/>
    </row>
    <row r="591" spans="9:27">
      <c r="I591" s="3" t="s">
        <v>1877</v>
      </c>
      <c r="J591" s="3" t="s">
        <v>1878</v>
      </c>
      <c r="AA591" s="97"/>
    </row>
    <row r="592" spans="9:27">
      <c r="I592" s="3" t="s">
        <v>1879</v>
      </c>
      <c r="J592" s="3" t="s">
        <v>1880</v>
      </c>
      <c r="AA592" s="97"/>
    </row>
    <row r="593" spans="9:27">
      <c r="I593" s="3" t="s">
        <v>1881</v>
      </c>
      <c r="J593" s="3" t="s">
        <v>1882</v>
      </c>
      <c r="AA593" s="97"/>
    </row>
    <row r="594" spans="9:27">
      <c r="I594" s="3" t="s">
        <v>1883</v>
      </c>
      <c r="J594" s="3" t="s">
        <v>1884</v>
      </c>
      <c r="AA594" s="97"/>
    </row>
    <row r="595" spans="9:27">
      <c r="I595" s="3" t="s">
        <v>1885</v>
      </c>
      <c r="J595" s="3" t="s">
        <v>1886</v>
      </c>
      <c r="AA595" s="97"/>
    </row>
    <row r="596" spans="9:27">
      <c r="I596" s="3" t="s">
        <v>1887</v>
      </c>
      <c r="J596" s="3" t="s">
        <v>1888</v>
      </c>
      <c r="AA596" s="97"/>
    </row>
    <row r="597" spans="9:27">
      <c r="I597" s="3" t="s">
        <v>1889</v>
      </c>
      <c r="J597" s="3" t="s">
        <v>1890</v>
      </c>
      <c r="AA597" s="97"/>
    </row>
    <row r="598" spans="9:27">
      <c r="I598" s="3" t="s">
        <v>1891</v>
      </c>
      <c r="J598" s="3" t="s">
        <v>1892</v>
      </c>
      <c r="AA598" s="97"/>
    </row>
    <row r="599" spans="9:27">
      <c r="I599" s="3" t="s">
        <v>1893</v>
      </c>
      <c r="J599" s="3" t="s">
        <v>1894</v>
      </c>
      <c r="AA599" s="97"/>
    </row>
    <row r="600" spans="9:27">
      <c r="I600" s="3" t="s">
        <v>1895</v>
      </c>
      <c r="J600" s="3" t="s">
        <v>1896</v>
      </c>
      <c r="AA600" s="97"/>
    </row>
    <row r="601" spans="9:27">
      <c r="I601" s="3" t="s">
        <v>1897</v>
      </c>
      <c r="J601" s="3" t="s">
        <v>1898</v>
      </c>
      <c r="AA601" s="97"/>
    </row>
    <row r="602" spans="9:27">
      <c r="I602" s="3" t="s">
        <v>1899</v>
      </c>
      <c r="J602" s="3" t="s">
        <v>1900</v>
      </c>
      <c r="AA602" s="97"/>
    </row>
    <row r="603" spans="9:27">
      <c r="I603" s="3" t="s">
        <v>1901</v>
      </c>
      <c r="J603" s="3" t="s">
        <v>1902</v>
      </c>
      <c r="AA603" s="97"/>
    </row>
    <row r="604" spans="9:27">
      <c r="I604" s="3" t="s">
        <v>1903</v>
      </c>
      <c r="J604" s="3" t="s">
        <v>1904</v>
      </c>
      <c r="AA604" s="97"/>
    </row>
    <row r="605" spans="9:27">
      <c r="I605" s="3" t="s">
        <v>1905</v>
      </c>
      <c r="J605" s="3" t="s">
        <v>1906</v>
      </c>
      <c r="AA605" s="97"/>
    </row>
    <row r="606" spans="9:27">
      <c r="I606" s="3" t="s">
        <v>1907</v>
      </c>
      <c r="J606" s="3" t="s">
        <v>1908</v>
      </c>
      <c r="AA606" s="97"/>
    </row>
    <row r="607" spans="9:27">
      <c r="I607" s="3" t="s">
        <v>1909</v>
      </c>
      <c r="J607" s="3" t="s">
        <v>1910</v>
      </c>
      <c r="AA607" s="97"/>
    </row>
    <row r="608" spans="9:27">
      <c r="I608" s="3" t="s">
        <v>1911</v>
      </c>
      <c r="J608" s="3" t="s">
        <v>1912</v>
      </c>
      <c r="AA608" s="97"/>
    </row>
    <row r="609" spans="9:27">
      <c r="I609" s="3" t="s">
        <v>1913</v>
      </c>
      <c r="J609" s="3" t="s">
        <v>1914</v>
      </c>
      <c r="AA609" s="97"/>
    </row>
    <row r="610" spans="9:27">
      <c r="I610" s="3" t="s">
        <v>1915</v>
      </c>
      <c r="J610" s="3" t="s">
        <v>1916</v>
      </c>
      <c r="AA610" s="97"/>
    </row>
    <row r="611" spans="9:27">
      <c r="I611" s="3" t="s">
        <v>1917</v>
      </c>
      <c r="J611" s="3" t="s">
        <v>1918</v>
      </c>
      <c r="AA611" s="97"/>
    </row>
    <row r="612" spans="9:27">
      <c r="I612" s="3" t="s">
        <v>1919</v>
      </c>
      <c r="J612" s="3" t="s">
        <v>1920</v>
      </c>
      <c r="AA612" s="97"/>
    </row>
    <row r="613" spans="9:27">
      <c r="I613" s="3" t="s">
        <v>1921</v>
      </c>
      <c r="J613" s="3" t="s">
        <v>1922</v>
      </c>
      <c r="AA613" s="97"/>
    </row>
    <row r="614" spans="9:27">
      <c r="I614" s="3" t="s">
        <v>1923</v>
      </c>
      <c r="J614" s="3" t="s">
        <v>1924</v>
      </c>
      <c r="AA614" s="97"/>
    </row>
    <row r="615" spans="9:27">
      <c r="I615" s="3" t="s">
        <v>1925</v>
      </c>
      <c r="J615" s="3" t="s">
        <v>1926</v>
      </c>
      <c r="AA615" s="97"/>
    </row>
    <row r="616" spans="9:27">
      <c r="I616" s="3" t="s">
        <v>1927</v>
      </c>
      <c r="J616" s="3" t="s">
        <v>1928</v>
      </c>
      <c r="AA616" s="97"/>
    </row>
    <row r="617" spans="9:27">
      <c r="AA617" s="97"/>
    </row>
    <row r="618" spans="9:27">
      <c r="AA618" s="97"/>
    </row>
    <row r="619" spans="9:27">
      <c r="AA619" s="97"/>
    </row>
    <row r="620" spans="9:27">
      <c r="AA620" s="97"/>
    </row>
    <row r="621" spans="9:27">
      <c r="AA621" s="97"/>
    </row>
    <row r="622" spans="9:27">
      <c r="AA622" s="97"/>
    </row>
    <row r="623" spans="9:27">
      <c r="AA623" s="97"/>
    </row>
    <row r="624" spans="9:27">
      <c r="AA624" s="97"/>
    </row>
    <row r="625" spans="9:27">
      <c r="AA625" s="97"/>
    </row>
    <row r="626" spans="9:27">
      <c r="AA626" s="97"/>
    </row>
    <row r="627" spans="9:27">
      <c r="AA627" s="97"/>
    </row>
    <row r="628" spans="9:27">
      <c r="AA628" s="97"/>
    </row>
    <row r="629" spans="9:27">
      <c r="AA629" s="97"/>
    </row>
    <row r="630" spans="9:27">
      <c r="AA630" s="97"/>
    </row>
    <row r="631" spans="9:27">
      <c r="AA631" s="97"/>
    </row>
    <row r="632" spans="9:27">
      <c r="AA632" s="97"/>
    </row>
    <row r="633" spans="9:27">
      <c r="AA633" s="97"/>
    </row>
    <row r="634" spans="9:27">
      <c r="AA634" s="97"/>
    </row>
    <row r="635" spans="9:27">
      <c r="AA635" s="97"/>
    </row>
    <row r="636" spans="9:27">
      <c r="AA636" s="97"/>
    </row>
    <row r="637" spans="9:27">
      <c r="AA637" s="97"/>
    </row>
    <row r="638" spans="9:27">
      <c r="AA638" s="97"/>
    </row>
    <row r="639" spans="9:27">
      <c r="AA639" s="97"/>
    </row>
    <row r="640" spans="9:27">
      <c r="I640" s="990"/>
      <c r="AA640" s="97"/>
    </row>
    <row r="641" spans="9:27">
      <c r="I641" s="990"/>
      <c r="AA641" s="97"/>
    </row>
    <row r="642" spans="9:27">
      <c r="I642" s="990"/>
      <c r="AA642" s="97"/>
    </row>
    <row r="643" spans="9:27">
      <c r="I643" s="990"/>
      <c r="AA643" s="97"/>
    </row>
    <row r="644" spans="9:27">
      <c r="I644" s="990"/>
      <c r="AA644" s="97"/>
    </row>
    <row r="645" spans="9:27">
      <c r="I645" s="990"/>
      <c r="AA645" s="97"/>
    </row>
    <row r="646" spans="9:27">
      <c r="I646" s="990"/>
      <c r="AA646" s="97"/>
    </row>
    <row r="647" spans="9:27">
      <c r="I647" s="990"/>
      <c r="AA647" s="97"/>
    </row>
    <row r="648" spans="9:27">
      <c r="AA648" s="97"/>
    </row>
    <row r="649" spans="9:27">
      <c r="AA649" s="97"/>
    </row>
    <row r="650" spans="9:27">
      <c r="AA650" s="97"/>
    </row>
    <row r="651" spans="9:27">
      <c r="AA651" s="97"/>
    </row>
    <row r="652" spans="9:27">
      <c r="AA652" s="97"/>
    </row>
    <row r="653" spans="9:27">
      <c r="AA653" s="97"/>
    </row>
    <row r="654" spans="9:27">
      <c r="AA654" s="97"/>
    </row>
    <row r="655" spans="9:27">
      <c r="AA655" s="97"/>
    </row>
    <row r="656" spans="9:27">
      <c r="AA656" s="97"/>
    </row>
    <row r="657" spans="27:27">
      <c r="AA657" s="97"/>
    </row>
    <row r="658" spans="27:27">
      <c r="AA658" s="97"/>
    </row>
    <row r="659" spans="27:27">
      <c r="AA659" s="97"/>
    </row>
    <row r="660" spans="27:27">
      <c r="AA660" s="97"/>
    </row>
    <row r="661" spans="27:27">
      <c r="AA661" s="97"/>
    </row>
    <row r="662" spans="27:27">
      <c r="AA662" s="97"/>
    </row>
    <row r="663" spans="27:27">
      <c r="AA663" s="97"/>
    </row>
    <row r="664" spans="27:27">
      <c r="AA664" s="97"/>
    </row>
    <row r="665" spans="27:27">
      <c r="AA665" s="97"/>
    </row>
    <row r="666" spans="27:27">
      <c r="AA666" s="97"/>
    </row>
    <row r="667" spans="27:27">
      <c r="AA667" s="97"/>
    </row>
    <row r="668" spans="27:27">
      <c r="AA668" s="97"/>
    </row>
    <row r="669" spans="27:27">
      <c r="AA669" s="97"/>
    </row>
    <row r="670" spans="27:27">
      <c r="AA670" s="97"/>
    </row>
    <row r="671" spans="27:27">
      <c r="AA671" s="97"/>
    </row>
    <row r="672" spans="27:27">
      <c r="AA672" s="97"/>
    </row>
    <row r="673" spans="27:27">
      <c r="AA673" s="97"/>
    </row>
    <row r="674" spans="27:27">
      <c r="AA674" s="97"/>
    </row>
    <row r="675" spans="27:27">
      <c r="AA675" s="97"/>
    </row>
    <row r="676" spans="27:27">
      <c r="AA676" s="97"/>
    </row>
    <row r="677" spans="27:27">
      <c r="AA677" s="97"/>
    </row>
    <row r="678" spans="27:27">
      <c r="AA678" s="97"/>
    </row>
    <row r="679" spans="27:27">
      <c r="AA679" s="97"/>
    </row>
    <row r="680" spans="27:27">
      <c r="AA680" s="97"/>
    </row>
    <row r="681" spans="27:27">
      <c r="AA681" s="97"/>
    </row>
    <row r="682" spans="27:27">
      <c r="AA682" s="97"/>
    </row>
    <row r="683" spans="27:27">
      <c r="AA683" s="97"/>
    </row>
    <row r="684" spans="27:27">
      <c r="AA684" s="97"/>
    </row>
    <row r="685" spans="27:27">
      <c r="AA685" s="97"/>
    </row>
    <row r="686" spans="27:27">
      <c r="AA686" s="97"/>
    </row>
    <row r="687" spans="27:27">
      <c r="AA687" s="97"/>
    </row>
    <row r="688" spans="27:27">
      <c r="AA688" s="97"/>
    </row>
    <row r="689" spans="27:27">
      <c r="AA689" s="97"/>
    </row>
    <row r="690" spans="27:27">
      <c r="AA690" s="97"/>
    </row>
    <row r="691" spans="27:27">
      <c r="AA691" s="97"/>
    </row>
    <row r="692" spans="27:27">
      <c r="AA692" s="97"/>
    </row>
    <row r="693" spans="27:27">
      <c r="AA693" s="97"/>
    </row>
    <row r="694" spans="27:27">
      <c r="AA694" s="97"/>
    </row>
    <row r="695" spans="27:27">
      <c r="AA695" s="97"/>
    </row>
    <row r="696" spans="27:27">
      <c r="AA696" s="97"/>
    </row>
    <row r="697" spans="27:27">
      <c r="AA697" s="97"/>
    </row>
    <row r="698" spans="27:27">
      <c r="AA698" s="97"/>
    </row>
    <row r="699" spans="27:27">
      <c r="AA699" s="97"/>
    </row>
    <row r="700" spans="27:27">
      <c r="AA700" s="97"/>
    </row>
    <row r="701" spans="27:27">
      <c r="AA701" s="97"/>
    </row>
    <row r="702" spans="27:27">
      <c r="AA702" s="97"/>
    </row>
    <row r="703" spans="27:27">
      <c r="AA703" s="97"/>
    </row>
    <row r="704" spans="27:27">
      <c r="AA704" s="97"/>
    </row>
    <row r="705" spans="27:27">
      <c r="AA705" s="97"/>
    </row>
    <row r="706" spans="27:27">
      <c r="AA706" s="97"/>
    </row>
    <row r="707" spans="27:27">
      <c r="AA707" s="97"/>
    </row>
    <row r="708" spans="27:27">
      <c r="AA708" s="97"/>
    </row>
    <row r="709" spans="27:27">
      <c r="AA709" s="97"/>
    </row>
    <row r="710" spans="27:27">
      <c r="AA710" s="97"/>
    </row>
    <row r="711" spans="27:27">
      <c r="AA711" s="97"/>
    </row>
    <row r="712" spans="27:27">
      <c r="AA712" s="97"/>
    </row>
    <row r="713" spans="27:27">
      <c r="AA713" s="97"/>
    </row>
    <row r="714" spans="27:27">
      <c r="AA714" s="97"/>
    </row>
    <row r="715" spans="27:27">
      <c r="AA715" s="97"/>
    </row>
    <row r="716" spans="27:27">
      <c r="AA716" s="97"/>
    </row>
    <row r="717" spans="27:27">
      <c r="AA717" s="97"/>
    </row>
    <row r="718" spans="27:27">
      <c r="AA718" s="97"/>
    </row>
    <row r="719" spans="27:27">
      <c r="AA719" s="97"/>
    </row>
    <row r="720" spans="27:27">
      <c r="AA720" s="97"/>
    </row>
    <row r="721" spans="27:27">
      <c r="AA721" s="97"/>
    </row>
    <row r="722" spans="27:27">
      <c r="AA722" s="97"/>
    </row>
    <row r="723" spans="27:27">
      <c r="AA723" s="97"/>
    </row>
    <row r="724" spans="27:27">
      <c r="AA724" s="97"/>
    </row>
    <row r="725" spans="27:27">
      <c r="AA725" s="97"/>
    </row>
    <row r="726" spans="27:27">
      <c r="AA726" s="97"/>
    </row>
    <row r="727" spans="27:27">
      <c r="AA727" s="97"/>
    </row>
    <row r="728" spans="27:27">
      <c r="AA728" s="97"/>
    </row>
    <row r="729" spans="27:27">
      <c r="AA729" s="97"/>
    </row>
    <row r="730" spans="27:27">
      <c r="AA730" s="97"/>
    </row>
    <row r="731" spans="27:27">
      <c r="AA731" s="97"/>
    </row>
    <row r="732" spans="27:27">
      <c r="AA732" s="97"/>
    </row>
    <row r="733" spans="27:27">
      <c r="AA733" s="97"/>
    </row>
    <row r="734" spans="27:27">
      <c r="AA734" s="97"/>
    </row>
    <row r="735" spans="27:27">
      <c r="AA735" s="97"/>
    </row>
    <row r="736" spans="27:27">
      <c r="AA736" s="97"/>
    </row>
    <row r="737" spans="27:27">
      <c r="AA737" s="97"/>
    </row>
    <row r="738" spans="27:27">
      <c r="AA738" s="97"/>
    </row>
    <row r="739" spans="27:27">
      <c r="AA739" s="97"/>
    </row>
    <row r="740" spans="27:27">
      <c r="AA740" s="97"/>
    </row>
    <row r="741" spans="27:27">
      <c r="AA741" s="97"/>
    </row>
    <row r="742" spans="27:27">
      <c r="AA742" s="97"/>
    </row>
    <row r="743" spans="27:27">
      <c r="AA743" s="97"/>
    </row>
    <row r="744" spans="27:27">
      <c r="AA744" s="97"/>
    </row>
    <row r="745" spans="27:27">
      <c r="AA745" s="97"/>
    </row>
    <row r="746" spans="27:27">
      <c r="AA746" s="97"/>
    </row>
    <row r="747" spans="27:27">
      <c r="AA747" s="97"/>
    </row>
    <row r="748" spans="27:27">
      <c r="AA748" s="97"/>
    </row>
    <row r="749" spans="27:27">
      <c r="AA749" s="97"/>
    </row>
    <row r="750" spans="27:27">
      <c r="AA750" s="97"/>
    </row>
    <row r="751" spans="27:27">
      <c r="AA751" s="97"/>
    </row>
    <row r="752" spans="27:27">
      <c r="AA752" s="97"/>
    </row>
    <row r="753" spans="27:27">
      <c r="AA753" s="97"/>
    </row>
    <row r="754" spans="27:27">
      <c r="AA754" s="97"/>
    </row>
    <row r="755" spans="27:27">
      <c r="AA755" s="97"/>
    </row>
    <row r="756" spans="27:27">
      <c r="AA756" s="97"/>
    </row>
    <row r="757" spans="27:27">
      <c r="AA757" s="97"/>
    </row>
    <row r="758" spans="27:27">
      <c r="AA758" s="97"/>
    </row>
    <row r="759" spans="27:27">
      <c r="AA759" s="97"/>
    </row>
    <row r="760" spans="27:27">
      <c r="AA760" s="97"/>
    </row>
    <row r="761" spans="27:27">
      <c r="AA761" s="97"/>
    </row>
    <row r="762" spans="27:27">
      <c r="AA762" s="97"/>
    </row>
    <row r="763" spans="27:27">
      <c r="AA763" s="97"/>
    </row>
    <row r="764" spans="27:27">
      <c r="AA764" s="97"/>
    </row>
    <row r="765" spans="27:27">
      <c r="AA765" s="97"/>
    </row>
    <row r="766" spans="27:27">
      <c r="AA766" s="97"/>
    </row>
    <row r="767" spans="27:27">
      <c r="AA767" s="97"/>
    </row>
    <row r="768" spans="27:27">
      <c r="AA768" s="97"/>
    </row>
    <row r="769" spans="27:27">
      <c r="AA769" s="97"/>
    </row>
    <row r="770" spans="27:27">
      <c r="AA770" s="97"/>
    </row>
    <row r="771" spans="27:27">
      <c r="AA771" s="97"/>
    </row>
    <row r="772" spans="27:27">
      <c r="AA772" s="97"/>
    </row>
    <row r="773" spans="27:27">
      <c r="AA773" s="97"/>
    </row>
    <row r="774" spans="27:27">
      <c r="AA774" s="97"/>
    </row>
    <row r="775" spans="27:27">
      <c r="AA775" s="97"/>
    </row>
    <row r="776" spans="27:27">
      <c r="AA776" s="97"/>
    </row>
    <row r="777" spans="27:27">
      <c r="AA777" s="97"/>
    </row>
    <row r="778" spans="27:27">
      <c r="AA778" s="97"/>
    </row>
    <row r="779" spans="27:27">
      <c r="AA779" s="97"/>
    </row>
    <row r="780" spans="27:27">
      <c r="AA780" s="97"/>
    </row>
    <row r="781" spans="27:27">
      <c r="AA781" s="97"/>
    </row>
    <row r="782" spans="27:27">
      <c r="AA782" s="97"/>
    </row>
    <row r="783" spans="27:27">
      <c r="AA783" s="97"/>
    </row>
    <row r="784" spans="27:27">
      <c r="AA784" s="97"/>
    </row>
    <row r="785" spans="27:27">
      <c r="AA785" s="97"/>
    </row>
    <row r="786" spans="27:27">
      <c r="AA786" s="97"/>
    </row>
    <row r="787" spans="27:27">
      <c r="AA787" s="97"/>
    </row>
    <row r="788" spans="27:27">
      <c r="AA788" s="97"/>
    </row>
    <row r="789" spans="27:27">
      <c r="AA789" s="97"/>
    </row>
    <row r="790" spans="27:27">
      <c r="AA790" s="97"/>
    </row>
    <row r="791" spans="27:27">
      <c r="AA791" s="97"/>
    </row>
    <row r="792" spans="27:27">
      <c r="AA792" s="97"/>
    </row>
    <row r="793" spans="27:27">
      <c r="AA793" s="97"/>
    </row>
    <row r="794" spans="27:27">
      <c r="AA794" s="97"/>
    </row>
    <row r="795" spans="27:27">
      <c r="AA795" s="97"/>
    </row>
    <row r="796" spans="27:27">
      <c r="AA796" s="97"/>
    </row>
    <row r="797" spans="27:27">
      <c r="AA797" s="97"/>
    </row>
    <row r="798" spans="27:27">
      <c r="AA798" s="97"/>
    </row>
    <row r="799" spans="27:27">
      <c r="AA799" s="97"/>
    </row>
    <row r="800" spans="27:27">
      <c r="AA800" s="97"/>
    </row>
    <row r="801" spans="27:27">
      <c r="AA801" s="97"/>
    </row>
    <row r="802" spans="27:27">
      <c r="AA802" s="97"/>
    </row>
    <row r="803" spans="27:27">
      <c r="AA803" s="97"/>
    </row>
    <row r="804" spans="27:27">
      <c r="AA804" s="97"/>
    </row>
    <row r="805" spans="27:27">
      <c r="AA805" s="97"/>
    </row>
    <row r="806" spans="27:27">
      <c r="AA806" s="97"/>
    </row>
    <row r="807" spans="27:27">
      <c r="AA807" s="97"/>
    </row>
    <row r="808" spans="27:27">
      <c r="AA808" s="97"/>
    </row>
    <row r="809" spans="27:27">
      <c r="AA809" s="97"/>
    </row>
    <row r="810" spans="27:27">
      <c r="AA810" s="97"/>
    </row>
    <row r="811" spans="27:27">
      <c r="AA811" s="97"/>
    </row>
    <row r="812" spans="27:27">
      <c r="AA812" s="97"/>
    </row>
    <row r="813" spans="27:27">
      <c r="AA813" s="97"/>
    </row>
    <row r="814" spans="27:27">
      <c r="AA814" s="97"/>
    </row>
    <row r="815" spans="27:27">
      <c r="AA815" s="97"/>
    </row>
    <row r="816" spans="27:27">
      <c r="AA816" s="97"/>
    </row>
    <row r="817" spans="27:27">
      <c r="AA817" s="97"/>
    </row>
    <row r="818" spans="27:27">
      <c r="AA818" s="97"/>
    </row>
    <row r="819" spans="27:27">
      <c r="AA819" s="97"/>
    </row>
    <row r="820" spans="27:27">
      <c r="AA820" s="97"/>
    </row>
    <row r="821" spans="27:27">
      <c r="AA821" s="97"/>
    </row>
    <row r="822" spans="27:27">
      <c r="AA822" s="97"/>
    </row>
    <row r="823" spans="27:27">
      <c r="AA823" s="97"/>
    </row>
    <row r="824" spans="27:27">
      <c r="AA824" s="97"/>
    </row>
  </sheetData>
  <sheetProtection sheet="1" objects="1" scenarios="1"/>
  <conditionalFormatting sqref="I2:I616">
    <cfRule type="duplicateValues" dxfId="117" priority="1"/>
    <cfRule type="duplicateValues" dxfId="116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MD81"/>
  <sheetViews>
    <sheetView topLeftCell="A33" zoomScaleNormal="100" zoomScaleSheetLayoutView="100" workbookViewId="0">
      <selection activeCell="C46" sqref="C46"/>
    </sheetView>
  </sheetViews>
  <sheetFormatPr defaultColWidth="8.85546875" defaultRowHeight="15"/>
  <cols>
    <col min="1" max="1" width="94.85546875" style="143" bestFit="1" customWidth="1"/>
    <col min="2" max="2" width="66.140625" style="144" bestFit="1" customWidth="1"/>
    <col min="3" max="3" width="32.42578125" style="145" customWidth="1"/>
    <col min="4" max="4" width="36.7109375" style="145" customWidth="1"/>
    <col min="5" max="5" width="47" style="145" customWidth="1"/>
    <col min="6" max="1018" width="8.85546875" style="145" customWidth="1"/>
    <col min="1019" max="1019" width="8.85546875" style="143" customWidth="1"/>
    <col min="1020" max="16384" width="8.85546875" style="143"/>
  </cols>
  <sheetData>
    <row r="1" spans="1:2">
      <c r="A1" s="143" t="s">
        <v>1929</v>
      </c>
      <c r="B1" s="144" t="str">
        <f>IF(OsnPodaci!B4="","",OsnPodaci!B4)</f>
        <v>ZIF " prevent INVEST " d.d.</v>
      </c>
    </row>
    <row r="2" spans="1:2">
      <c r="A2" s="143" t="s">
        <v>1930</v>
      </c>
      <c r="B2" s="144" t="s">
        <v>137</v>
      </c>
    </row>
    <row r="3" spans="1:2">
      <c r="A3" s="143" t="s">
        <v>1931</v>
      </c>
      <c r="B3" s="144" t="s">
        <v>137</v>
      </c>
    </row>
    <row r="4" spans="1:2">
      <c r="A4" s="143" t="s">
        <v>1932</v>
      </c>
      <c r="B4" s="146" t="str">
        <f>IF(OsnPodaci!A7="","",OsnPodaci!A7)</f>
        <v/>
      </c>
    </row>
    <row r="5" spans="1:2">
      <c r="A5" s="143" t="s">
        <v>1933</v>
      </c>
      <c r="B5" s="144" t="s">
        <v>137</v>
      </c>
    </row>
    <row r="6" spans="1:2">
      <c r="A6" s="143" t="s">
        <v>16</v>
      </c>
      <c r="B6" s="144" t="str">
        <f>IF(OsnPodaci!B7="","",OsnPodaci!B7)</f>
        <v>Zatvoreni</v>
      </c>
    </row>
    <row r="7" spans="1:2">
      <c r="A7" s="143" t="s">
        <v>1934</v>
      </c>
      <c r="B7" s="144" t="str">
        <f>IF(OsnPodaci!B27="","",OsnPodaci!B27)</f>
        <v>DUF "Blago" d.o.o.</v>
      </c>
    </row>
    <row r="8" spans="1:2">
      <c r="A8" s="143" t="s">
        <v>1935</v>
      </c>
      <c r="B8" s="144" t="str">
        <f>IF(OsnPodaci!E27="","",OsnPodaci!E27)</f>
        <v>65-01-0034-11</v>
      </c>
    </row>
    <row r="9" spans="1:2">
      <c r="A9" s="143" t="s">
        <v>1936</v>
      </c>
      <c r="B9" s="144" t="str">
        <f>IF(OsnPodaci!A27="","",OsnPodaci!A27)</f>
        <v>4200052540007</v>
      </c>
    </row>
    <row r="10" spans="1:2">
      <c r="A10" s="143" t="s">
        <v>1937</v>
      </c>
      <c r="B10" s="144" t="str">
        <f>IF(OsnPodaci!D7="","",OsnPodaci!D7)</f>
        <v>zjp-031-10</v>
      </c>
    </row>
    <row r="11" spans="1:2">
      <c r="A11" s="143" t="s">
        <v>1938</v>
      </c>
      <c r="B11" s="144" t="str">
        <f>IF(OsnPodaci!A10="","",OsnPodaci!A10)</f>
        <v>Sarajevo-Novi Grad</v>
      </c>
    </row>
    <row r="12" spans="1:2">
      <c r="A12" s="143" t="s">
        <v>1</v>
      </c>
      <c r="B12" s="144" t="str">
        <f>IF(OsnPodaci!A10="","",VLOOKUP(OsnPodaci!A10,'#Konverter'!A2:B80,2,FALSE))</f>
        <v>108</v>
      </c>
    </row>
    <row r="13" spans="1:2">
      <c r="A13" s="143" t="s">
        <v>2</v>
      </c>
      <c r="B13" s="144">
        <f>IF(OsnPodaci!A10="","",VLOOKUP(OsnPodaci!A10,'#Konverter'!A2:C80,3,FALSE))</f>
        <v>10871</v>
      </c>
    </row>
    <row r="14" spans="1:2">
      <c r="A14" s="143" t="s">
        <v>1939</v>
      </c>
      <c r="B14" s="144" t="str">
        <f>IF(OsnPodaci!A13="","",OsnPodaci!A13)</f>
        <v>Bulevar Meše Selimovića 16</v>
      </c>
    </row>
    <row r="15" spans="1:2">
      <c r="A15" s="143" t="s">
        <v>1940</v>
      </c>
      <c r="B15" s="144" t="str">
        <f>IF(OsnPodaci!A4="","",OsnPodaci!A4)</f>
        <v>4200191740002</v>
      </c>
    </row>
    <row r="16" spans="1:2">
      <c r="A16" s="143" t="s">
        <v>1941</v>
      </c>
      <c r="B16" s="144" t="str">
        <f>IF(AND(OsnPodaci!A16="DA",LEN(OsnPodaci!B16)=12),OsnPodaci!B16,"")</f>
        <v/>
      </c>
    </row>
    <row r="17" spans="1:5">
      <c r="A17" s="143" t="s">
        <v>1942</v>
      </c>
      <c r="B17" s="144" t="s">
        <v>137</v>
      </c>
    </row>
    <row r="18" spans="1:5">
      <c r="A18" s="143" t="s">
        <v>1943</v>
      </c>
      <c r="B18" s="144" t="s">
        <v>137</v>
      </c>
    </row>
    <row r="19" spans="1:5">
      <c r="A19" s="143" t="s">
        <v>1944</v>
      </c>
      <c r="B19" s="144" t="s">
        <v>137</v>
      </c>
    </row>
    <row r="20" spans="1:5">
      <c r="A20" s="143" t="s">
        <v>1945</v>
      </c>
      <c r="B20" s="144" t="s">
        <v>137</v>
      </c>
    </row>
    <row r="21" spans="1:5">
      <c r="A21" s="143" t="s">
        <v>1946</v>
      </c>
      <c r="B21" s="144" t="str">
        <f>IF(OsnPodaci!A19="","",OsnPodaci!A19)</f>
        <v>64.30</v>
      </c>
    </row>
    <row r="22" spans="1:5">
      <c r="A22" s="143" t="s">
        <v>1947</v>
      </c>
      <c r="B22" s="144" t="str">
        <f>IF(OsnPodaci!B19="","",OsnPodaci!B19)</f>
        <v>Trustovi, ostali fondovi i slični finansijski subjekti</v>
      </c>
    </row>
    <row r="23" spans="1:5">
      <c r="A23" s="143" t="s">
        <v>1948</v>
      </c>
      <c r="B23" s="144" t="s">
        <v>137</v>
      </c>
    </row>
    <row r="24" spans="1:5">
      <c r="A24" s="143" t="s">
        <v>14</v>
      </c>
      <c r="B24" s="144" t="str">
        <f>IF(OsnPodaci!B23="","",OsnPodaci!B23)</f>
        <v>Raiffeisen Bank d.d. BiH</v>
      </c>
    </row>
    <row r="25" spans="1:5">
      <c r="A25" s="143" t="s">
        <v>1949</v>
      </c>
      <c r="B25" s="144" t="str">
        <f>IF(OsnPodaci!A23="","",OsnPodaci!A23)</f>
        <v>1610000031640053</v>
      </c>
    </row>
    <row r="26" spans="1:5" s="147" customFormat="1" ht="16.5">
      <c r="A26" s="143" t="s">
        <v>1950</v>
      </c>
      <c r="B26" s="144" t="str">
        <f>IF(OsnPodaci!A31="","",OsnPodaci!A31)</f>
        <v>Dženan</v>
      </c>
      <c r="C26" s="145" t="str">
        <f>IF(OsnPodaci!B31="","",OsnPodaci!B31)</f>
        <v>Prevljak</v>
      </c>
      <c r="D26" s="145" t="str">
        <f>IF(OsnPodaci!D31="","",OsnPodaci!D31)</f>
        <v>direktor</v>
      </c>
      <c r="E26" s="147" t="str">
        <f>IF(OsnPodaci!F31="","",OsnPodaci!F31)</f>
        <v>Muški</v>
      </c>
    </row>
    <row r="27" spans="1:5" s="147" customFormat="1" ht="16.5">
      <c r="A27" s="143" t="s">
        <v>1951</v>
      </c>
      <c r="B27" s="144" t="s">
        <v>137</v>
      </c>
      <c r="C27" s="145" t="s">
        <v>137</v>
      </c>
      <c r="D27" s="145" t="s">
        <v>137</v>
      </c>
      <c r="E27" s="148" t="s">
        <v>137</v>
      </c>
    </row>
    <row r="28" spans="1:5">
      <c r="A28" s="143" t="s">
        <v>1952</v>
      </c>
      <c r="B28" s="149" t="str">
        <f>IF(OsnPodaci!B34="","","0"&amp;OsnPodaci!B34)</f>
        <v>0033/407-172</v>
      </c>
    </row>
    <row r="29" spans="1:5">
      <c r="A29" s="143" t="s">
        <v>1953</v>
      </c>
      <c r="B29" s="144" t="str">
        <f>IF(OsnPodaci!A34="","",OsnPodaci!A34)</f>
        <v>blago@bih.net.ba</v>
      </c>
    </row>
    <row r="30" spans="1:5">
      <c r="A30" s="143" t="s">
        <v>18</v>
      </c>
      <c r="B30" s="150" t="str">
        <f>IF(ISTEXT(VLOOKUP(OsnPodaci!A55 &amp;"|"&amp;OsnPodaci!B55,'#Konverter'!AA2:AB39,2,FALSE)),VLOOKUP(OsnPodaci!A55 &amp;"|"&amp;OsnPodaci!B55,'#Konverter'!AA2:AB39,2,FALSE),"Greška!")</f>
        <v>10</v>
      </c>
    </row>
    <row r="31" spans="1:5">
      <c r="A31" s="143" t="s">
        <v>1954</v>
      </c>
      <c r="B31" s="151">
        <f>IF(OsnPodaci!A58="","",OsnPodaci!A58)</f>
        <v>44562</v>
      </c>
    </row>
    <row r="32" spans="1:5">
      <c r="A32" s="143" t="s">
        <v>1955</v>
      </c>
      <c r="B32" s="152">
        <f>IF(OsnPodaci!A58="","",OsnPodaci!A58)</f>
        <v>44562</v>
      </c>
    </row>
    <row r="33" spans="1:3">
      <c r="A33" s="143" t="s">
        <v>1956</v>
      </c>
      <c r="B33" s="152">
        <f>IF(OsnPodaci!B58="","",OsnPodaci!B58)</f>
        <v>44926</v>
      </c>
    </row>
    <row r="34" spans="1:3">
      <c r="A34" s="143" t="s">
        <v>22</v>
      </c>
      <c r="B34" s="144" t="str">
        <f>IF(ObavijRazvrst!F24="","",ObavijRazvrst!F24)</f>
        <v>Veliko</v>
      </c>
    </row>
    <row r="35" spans="1:3">
      <c r="A35" s="143" t="s">
        <v>1957</v>
      </c>
      <c r="B35" s="144">
        <v>1</v>
      </c>
    </row>
    <row r="36" spans="1:3">
      <c r="A36" s="143" t="s">
        <v>1958</v>
      </c>
      <c r="B36" s="144">
        <v>1165</v>
      </c>
      <c r="C36" s="145" t="str">
        <f>IF(OsnPodaci!A67="","",OsnPodaci!A67)</f>
        <v>HADŽIALIĆ (AHMET) AZIRA; licenca br. 4263/5</v>
      </c>
    </row>
    <row r="37" spans="1:3">
      <c r="A37" s="143" t="s">
        <v>1959</v>
      </c>
      <c r="B37" s="149" t="str">
        <f>IF(OsnPodaci!B70="","","0"&amp;OsnPodaci!B70)</f>
        <v>033407172</v>
      </c>
    </row>
    <row r="38" spans="1:3">
      <c r="A38" s="143" t="s">
        <v>1960</v>
      </c>
      <c r="B38" s="144" t="str">
        <f>IF(OsnPodaci!A70="","",OsnPodaci!A70)</f>
        <v>azira.hadzialic@blago.ba</v>
      </c>
    </row>
    <row r="39" spans="1:3">
      <c r="A39" s="143" t="s">
        <v>1961</v>
      </c>
      <c r="B39" s="144" t="str">
        <f>IF(OsnPodaci!A62="","",OsnPodaci!A62)</f>
        <v>MRS/MSFI (velika pravna lica)</v>
      </c>
    </row>
    <row r="40" spans="1:3">
      <c r="A40" s="143" t="s">
        <v>1962</v>
      </c>
      <c r="B40" s="152">
        <f>IF(OsnPodaci!D58="","",OsnPodaci!D58)</f>
        <v>44985</v>
      </c>
    </row>
    <row r="41" spans="1:3">
      <c r="A41" s="153" t="s">
        <v>53</v>
      </c>
      <c r="B41" s="154" t="str">
        <f>IF(LEN(BS!J39)=4,"",BS!J39)</f>
        <v>*1013843295*</v>
      </c>
      <c r="C41" s="145">
        <f>IF(AND(ROWS(BS!1:109)=109,COLUMNS(BS!E:J)=6),1,0)</f>
        <v>1</v>
      </c>
    </row>
    <row r="42" spans="1:3">
      <c r="A42" s="153" t="s">
        <v>72</v>
      </c>
      <c r="B42" s="154" t="str">
        <f>IF(LEN(BU!J38)=4,"",BU!J38)</f>
        <v>*1189520239*</v>
      </c>
      <c r="C42" s="145">
        <f>IF(AND(ROWS(BU!1:116)=116,COLUMNS(BU!E:J)=6),1,0)</f>
        <v>1</v>
      </c>
    </row>
    <row r="43" spans="1:3">
      <c r="A43" s="153" t="s">
        <v>89</v>
      </c>
      <c r="B43" s="154" t="s">
        <v>137</v>
      </c>
    </row>
    <row r="44" spans="1:3">
      <c r="A44" s="153" t="s">
        <v>105</v>
      </c>
      <c r="B44" s="154" t="s">
        <v>137</v>
      </c>
    </row>
    <row r="45" spans="1:3">
      <c r="A45" s="153" t="s">
        <v>121</v>
      </c>
      <c r="B45" s="154" t="str">
        <f>IF(LEN(GTDIR!K35)=4,"",GTDIR!K35)</f>
        <v>*169087374*</v>
      </c>
      <c r="C45" s="145">
        <v>1</v>
      </c>
    </row>
    <row r="46" spans="1:3">
      <c r="A46" s="153" t="s">
        <v>135</v>
      </c>
      <c r="B46" s="154" t="s">
        <v>137</v>
      </c>
    </row>
    <row r="47" spans="1:3">
      <c r="A47" s="153" t="s">
        <v>151</v>
      </c>
      <c r="B47" s="154" t="s">
        <v>137</v>
      </c>
    </row>
    <row r="48" spans="1:3">
      <c r="A48" s="153" t="s">
        <v>166</v>
      </c>
      <c r="B48" s="154" t="s">
        <v>137</v>
      </c>
    </row>
    <row r="49" spans="1:3">
      <c r="A49" s="153" t="s">
        <v>180</v>
      </c>
      <c r="B49" s="154" t="s">
        <v>137</v>
      </c>
    </row>
    <row r="50" spans="1:3">
      <c r="A50" s="153" t="s">
        <v>194</v>
      </c>
      <c r="B50" s="154" t="s">
        <v>137</v>
      </c>
    </row>
    <row r="51" spans="1:3">
      <c r="A51" s="153" t="s">
        <v>208</v>
      </c>
      <c r="B51" s="154" t="s">
        <v>137</v>
      </c>
    </row>
    <row r="52" spans="1:3">
      <c r="A52" s="153" t="s">
        <v>221</v>
      </c>
      <c r="B52" s="154" t="str">
        <f>IF(LEN(IPNI!BG1)=4,"",IPNI!BG1)</f>
        <v>*2159460356334982*</v>
      </c>
      <c r="C52" s="145">
        <f>IF(AND(ROWS(IPNI!1:62)=62,COLUMNS(IPNI!E:BG)=55),1,0)</f>
        <v>1</v>
      </c>
    </row>
    <row r="53" spans="1:3">
      <c r="A53" s="153" t="s">
        <v>233</v>
      </c>
      <c r="B53" s="154" t="str">
        <f>IF(LEN(PP!AB1)=4,"",PP!AB1)</f>
        <v>*2286817158922055*</v>
      </c>
      <c r="C53" s="145">
        <f>IF(AND(ROWS(PP!1:59)=59,COLUMNS(PP!F:AB)=23),1,0)</f>
        <v>1</v>
      </c>
    </row>
    <row r="54" spans="1:3">
      <c r="A54" s="153" t="s">
        <v>246</v>
      </c>
      <c r="B54" s="154" t="s">
        <v>137</v>
      </c>
    </row>
    <row r="55" spans="1:3">
      <c r="A55" s="153" t="s">
        <v>259</v>
      </c>
      <c r="B55" s="154" t="s">
        <v>137</v>
      </c>
    </row>
    <row r="56" spans="1:3">
      <c r="A56" s="153" t="s">
        <v>270</v>
      </c>
      <c r="B56" s="154" t="s">
        <v>137</v>
      </c>
    </row>
    <row r="57" spans="1:3">
      <c r="A57" s="153" t="s">
        <v>282</v>
      </c>
      <c r="B57" s="154" t="s">
        <v>137</v>
      </c>
    </row>
    <row r="58" spans="1:3">
      <c r="A58" s="153" t="s">
        <v>294</v>
      </c>
      <c r="B58" s="154" t="s">
        <v>137</v>
      </c>
    </row>
    <row r="59" spans="1:3">
      <c r="A59" s="153" t="s">
        <v>314</v>
      </c>
      <c r="B59" s="154" t="str">
        <f>IF(LEN('INV01-1'!BE1)=4,"",'INV01-1'!BE1)</f>
        <v/>
      </c>
      <c r="C59" s="145">
        <f>IF(AND(ROWS('INV01-1'!1:63)=63,COLUMNS('INV01-1'!C:BE)=55,ROWS('INV01-2'!1:97)=97,COLUMNS('INV01-2'!J:CQ)=86),1,0)</f>
        <v>1</v>
      </c>
    </row>
    <row r="60" spans="1:3">
      <c r="A60" s="153" t="s">
        <v>323</v>
      </c>
      <c r="B60" s="154" t="s">
        <v>137</v>
      </c>
    </row>
    <row r="61" spans="1:3">
      <c r="A61" s="153" t="s">
        <v>333</v>
      </c>
      <c r="B61" s="154" t="s">
        <v>137</v>
      </c>
    </row>
    <row r="62" spans="1:3">
      <c r="A62" s="153" t="s">
        <v>341</v>
      </c>
      <c r="B62" s="154" t="str">
        <f>IF(LEN(VN!BH41)=4,"",VN!BH41)</f>
        <v>*324140037926048*</v>
      </c>
      <c r="C62" s="145">
        <f>IF(AND(ROWS(VN!1:43)=43,COLUMNS(VN!J:BH)=51),1,0)</f>
        <v>1</v>
      </c>
    </row>
    <row r="63" spans="1:3">
      <c r="A63" s="153" t="s">
        <v>351</v>
      </c>
      <c r="B63" s="154" t="str">
        <f>IF(LEN(ZS!AP1)=4,"",ZS!AP1)</f>
        <v>*339172007668*</v>
      </c>
      <c r="C63" s="145">
        <f>IF(AND(ROWS(ZS!1:47)=47,COLUMNS(ZS!C:AP)=40),1,0)</f>
        <v>1</v>
      </c>
    </row>
    <row r="64" spans="1:3">
      <c r="A64" s="153" t="s">
        <v>360</v>
      </c>
      <c r="B64" s="154" t="str">
        <f>IF(LEN(ObavijRazvrst!H1)=4,"",ObavijRazvrst!H1)</f>
        <v>*34432819127*</v>
      </c>
      <c r="C64" s="145">
        <f>IF(AND(ROWS(ObavijRazvrst!1:37)=37,COLUMNS(ObavijRazvrst!C:H)=6),1,0)</f>
        <v>1</v>
      </c>
    </row>
    <row r="65" spans="1:3">
      <c r="A65" s="153" t="s">
        <v>367</v>
      </c>
      <c r="B65" s="154" t="str">
        <f>IF(LEN(IzjStandard!H1)=4,"",IzjStandard!H1)</f>
        <v>*353334305598*</v>
      </c>
      <c r="C65" s="145">
        <f>IF(AND(ROWS(IzjStandard!1:29)=29,COLUMNS(IzjStandard!C:H)=6),1,0)</f>
        <v>1</v>
      </c>
    </row>
    <row r="66" spans="1:3">
      <c r="A66" s="153" t="s">
        <v>302</v>
      </c>
      <c r="B66" s="154" t="str">
        <f ca="1">IF(AND(OsnPodaci!A55="Izjava o neaktivnosti",LEN(IzjNeaktiv!R1)&gt;4),IzjNeaktiv!R1,"")</f>
        <v/>
      </c>
      <c r="C66" s="145">
        <f>IF(AND(ROWS(IzjNeaktiv!1:40)=40,COLUMNS(IzjNeaktiv!B:R)=17),1,0)</f>
        <v>1</v>
      </c>
    </row>
    <row r="67" spans="1:3">
      <c r="A67" s="143" t="s">
        <v>1963</v>
      </c>
      <c r="B67" s="155" t="str">
        <f>IF(OsnPodaci!H1="","",OsnPodaci!H1)</f>
        <v>*4200191740002102244985*</v>
      </c>
    </row>
    <row r="68" spans="1:3">
      <c r="A68" s="143" t="s">
        <v>1964</v>
      </c>
      <c r="B68" s="144">
        <f>IF(OsnPodaci!D16="","",IF(OsnPodaci!D16="DA",1,0))</f>
        <v>1</v>
      </c>
    </row>
    <row r="69" spans="1:3">
      <c r="A69" s="143" t="s">
        <v>1965</v>
      </c>
      <c r="B69" s="144" t="s">
        <v>137</v>
      </c>
    </row>
    <row r="70" spans="1:3">
      <c r="A70" s="156" t="str">
        <f>OsnPodaci!A39</f>
        <v>1. Bosna i Hercegovina</v>
      </c>
      <c r="B70" s="894" t="str">
        <f>IF(OsnPodaci!F39="","",OsnPodaci!F39)</f>
        <v/>
      </c>
      <c r="C70" s="157"/>
    </row>
    <row r="71" spans="1:3">
      <c r="A71" s="156" t="str">
        <f>OsnPodaci!A40</f>
        <v>2. Federacija BiH</v>
      </c>
      <c r="B71" s="894" t="str">
        <f>IF(OsnPodaci!F40="","",OsnPodaci!F40)</f>
        <v/>
      </c>
      <c r="C71" s="157"/>
    </row>
    <row r="72" spans="1:3">
      <c r="A72" s="156" t="str">
        <f>OsnPodaci!A41</f>
        <v>3. Kanton</v>
      </c>
      <c r="B72" s="894" t="str">
        <f>IF(OsnPodaci!F41="","",OsnPodaci!F41)</f>
        <v/>
      </c>
      <c r="C72" s="157" t="str">
        <f>IF(OsnPodaci!B41="","",VLOOKUP(OsnPodaci!B41,'#Konverter'!AM2:AN11,2,FALSE))</f>
        <v/>
      </c>
    </row>
    <row r="73" spans="1:3">
      <c r="A73" s="156" t="str">
        <f>OsnPodaci!A42</f>
        <v>4. Grad</v>
      </c>
      <c r="B73" s="894" t="str">
        <f>IF(OsnPodaci!F42="","",OsnPodaci!F42)</f>
        <v/>
      </c>
      <c r="C73" s="157" t="str">
        <f>IF(OsnPodaci!B42="","",VLOOKUP(OsnPodaci!B42,'#Konverter'!AI2:AJ80,2,FALSE))</f>
        <v/>
      </c>
    </row>
    <row r="74" spans="1:3">
      <c r="A74" s="156" t="str">
        <f>OsnPodaci!A43</f>
        <v>5. Opština 1</v>
      </c>
      <c r="B74" s="894" t="str">
        <f>IF(OsnPodaci!F43="","",OsnPodaci!F43)</f>
        <v/>
      </c>
      <c r="C74" s="157" t="str">
        <f>IF(OsnPodaci!B43="","",VLOOKUP(OsnPodaci!B43,'#Konverter'!AK2:AL80,2,FALSE))</f>
        <v/>
      </c>
    </row>
    <row r="75" spans="1:3">
      <c r="A75" s="156" t="str">
        <f>OsnPodaci!A44</f>
        <v>6. Opština 2</v>
      </c>
      <c r="B75" s="894" t="str">
        <f>IF(OsnPodaci!F44="","",OsnPodaci!F44)</f>
        <v/>
      </c>
      <c r="C75" s="157" t="str">
        <f>IF(OsnPodaci!B44="","",VLOOKUP(OsnPodaci!B44,'#Konverter'!AK2:AL80,2,FALSE))</f>
        <v/>
      </c>
    </row>
    <row r="76" spans="1:3">
      <c r="A76" s="156" t="str">
        <f>OsnPodaci!A45</f>
        <v>7. Opština 3</v>
      </c>
      <c r="B76" s="894" t="str">
        <f>IF(OsnPodaci!F45="","",OsnPodaci!F45)</f>
        <v/>
      </c>
      <c r="C76" s="157" t="str">
        <f>IF(OsnPodaci!B45="","",VLOOKUP(OsnPodaci!B45,'#Konverter'!AK2:AL80,2,FALSE))</f>
        <v/>
      </c>
    </row>
    <row r="77" spans="1:3">
      <c r="A77" s="156" t="str">
        <f>OsnPodaci!A46</f>
        <v>8. Drugo pravno lice u državnom vlasništvu</v>
      </c>
      <c r="B77" s="894" t="str">
        <f>IF(OsnPodaci!F46="","",OsnPodaci!F46)</f>
        <v/>
      </c>
      <c r="C77" s="158" t="str">
        <f>IF(OsnPodaci!B46="","",OsnPodaci!B46)</f>
        <v/>
      </c>
    </row>
    <row r="78" spans="1:3">
      <c r="A78" s="156" t="str">
        <f>OsnPodaci!A47</f>
        <v>9. Privatno vlasništvo</v>
      </c>
      <c r="B78" s="894">
        <f>IF(OsnPodaci!F47="","",OsnPodaci!F47)</f>
        <v>1</v>
      </c>
      <c r="C78" s="157" t="str">
        <f>IF(OsnPodaci!B47="","",OsnPodaci!B47)</f>
        <v/>
      </c>
    </row>
    <row r="79" spans="1:3">
      <c r="A79" s="143" t="s">
        <v>1966</v>
      </c>
      <c r="B79" s="969">
        <v>5</v>
      </c>
    </row>
    <row r="80" spans="1:3">
      <c r="A80" s="143" t="s">
        <v>1967</v>
      </c>
      <c r="B80" s="144" t="s">
        <v>1968</v>
      </c>
    </row>
    <row r="81" spans="1:3">
      <c r="A81" s="143" t="s">
        <v>32</v>
      </c>
      <c r="B81" s="144" t="s">
        <v>137</v>
      </c>
      <c r="C81" s="145" t="s">
        <v>137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showGridLines="0" zoomScaleNormal="100" workbookViewId="0"/>
  </sheetViews>
  <sheetFormatPr defaultColWidth="9.140625" defaultRowHeight="15"/>
  <cols>
    <col min="1" max="1" width="8.5703125" style="5" customWidth="1"/>
    <col min="2" max="4" width="9.140625" style="5" customWidth="1"/>
    <col min="5" max="5" width="13.85546875" style="5" customWidth="1"/>
    <col min="6" max="13" width="9.140625" style="5" customWidth="1"/>
    <col min="14" max="14" width="3.5703125" style="5" customWidth="1"/>
    <col min="15" max="15" width="9.140625" style="5" customWidth="1"/>
    <col min="16" max="20" width="9.140625" style="4" customWidth="1"/>
    <col min="21" max="21" width="11.5703125" style="4" customWidth="1"/>
    <col min="22" max="22" width="9.140625" style="4" customWidth="1"/>
    <col min="23" max="16384" width="9.140625" style="4"/>
  </cols>
  <sheetData>
    <row r="1" spans="1:7" s="5" customFormat="1" ht="21">
      <c r="A1" s="974" t="s">
        <v>1969</v>
      </c>
    </row>
    <row r="2" spans="1:7" s="5" customFormat="1">
      <c r="A2" s="5" t="s">
        <v>1970</v>
      </c>
    </row>
    <row r="3" spans="1:7" s="5" customFormat="1">
      <c r="A3" s="5" t="s">
        <v>1971</v>
      </c>
    </row>
    <row r="4" spans="1:7" s="5" customFormat="1">
      <c r="A4" s="5" t="s">
        <v>1972</v>
      </c>
    </row>
    <row r="5" spans="1:7" s="5" customFormat="1">
      <c r="A5" s="975" t="s">
        <v>1973</v>
      </c>
    </row>
    <row r="6" spans="1:7" s="5" customFormat="1"/>
    <row r="7" spans="1:7" s="5" customFormat="1" ht="21">
      <c r="A7" s="974" t="s">
        <v>1974</v>
      </c>
    </row>
    <row r="8" spans="1:7" s="5" customFormat="1">
      <c r="A8" s="5" t="s">
        <v>1975</v>
      </c>
      <c r="G8" s="1" t="s">
        <v>1976</v>
      </c>
    </row>
    <row r="9" spans="1:7" s="5" customFormat="1">
      <c r="A9" s="5" t="s">
        <v>1977</v>
      </c>
    </row>
    <row r="10" spans="1:7" s="5" customFormat="1">
      <c r="A10" s="976" t="s">
        <v>1978</v>
      </c>
    </row>
    <row r="11" spans="1:7" s="5" customFormat="1">
      <c r="A11" s="977" t="s">
        <v>1979</v>
      </c>
    </row>
    <row r="12" spans="1:7" s="5" customFormat="1">
      <c r="A12" s="978"/>
    </row>
    <row r="13" spans="1:7" s="5" customFormat="1" ht="21">
      <c r="A13" s="974" t="s">
        <v>1980</v>
      </c>
    </row>
    <row r="14" spans="1:7" s="5" customFormat="1">
      <c r="A14" s="979" t="s">
        <v>1981</v>
      </c>
    </row>
    <row r="15" spans="1:7" s="5" customFormat="1">
      <c r="A15" s="979" t="s">
        <v>1982</v>
      </c>
    </row>
    <row r="16" spans="1:7" s="5" customFormat="1">
      <c r="A16" s="979" t="s">
        <v>1983</v>
      </c>
    </row>
    <row r="17" spans="1:1" s="5" customFormat="1">
      <c r="A17" s="979" t="s">
        <v>1984</v>
      </c>
    </row>
    <row r="18" spans="1:1" s="5" customFormat="1">
      <c r="A18" s="5" t="s">
        <v>1985</v>
      </c>
    </row>
    <row r="19" spans="1:1" s="5" customFormat="1">
      <c r="A19" s="5" t="s">
        <v>1986</v>
      </c>
    </row>
    <row r="20" spans="1:1" s="5" customFormat="1">
      <c r="A20" s="5" t="s">
        <v>1987</v>
      </c>
    </row>
    <row r="21" spans="1:1" s="5" customFormat="1">
      <c r="A21" s="979" t="s">
        <v>1988</v>
      </c>
    </row>
    <row r="22" spans="1:1" s="5" customFormat="1">
      <c r="A22" s="5" t="s">
        <v>1989</v>
      </c>
    </row>
    <row r="23" spans="1:1" s="5" customFormat="1">
      <c r="A23" s="979" t="s">
        <v>1990</v>
      </c>
    </row>
    <row r="24" spans="1:1" s="5" customFormat="1">
      <c r="A24" s="980" t="s">
        <v>1991</v>
      </c>
    </row>
    <row r="25" spans="1:1" s="5" customFormat="1">
      <c r="A25" s="5" t="s">
        <v>1992</v>
      </c>
    </row>
    <row r="26" spans="1:1" s="5" customFormat="1">
      <c r="A26" s="5" t="s">
        <v>1993</v>
      </c>
    </row>
    <row r="27" spans="1:1" s="5" customFormat="1">
      <c r="A27" s="981" t="s">
        <v>1994</v>
      </c>
    </row>
    <row r="28" spans="1:1" s="5" customFormat="1">
      <c r="A28" s="981" t="s">
        <v>1995</v>
      </c>
    </row>
    <row r="29" spans="1:1" s="5" customFormat="1">
      <c r="A29" s="981" t="s">
        <v>1996</v>
      </c>
    </row>
    <row r="30" spans="1:1" s="5" customFormat="1">
      <c r="A30" s="981" t="s">
        <v>1997</v>
      </c>
    </row>
    <row r="31" spans="1:1" s="5" customFormat="1">
      <c r="A31" s="981" t="s">
        <v>1998</v>
      </c>
    </row>
    <row r="32" spans="1:1" s="5" customFormat="1">
      <c r="A32" s="981" t="s">
        <v>1999</v>
      </c>
    </row>
    <row r="33" spans="1:1" s="5" customFormat="1">
      <c r="A33" s="5" t="s">
        <v>2000</v>
      </c>
    </row>
    <row r="34" spans="1:1" s="5" customFormat="1">
      <c r="A34" s="5" t="s">
        <v>2001</v>
      </c>
    </row>
    <row r="35" spans="1:1" s="5" customFormat="1">
      <c r="A35" s="980" t="s">
        <v>2002</v>
      </c>
    </row>
    <row r="36" spans="1:1" s="5" customFormat="1">
      <c r="A36" s="975" t="s">
        <v>2003</v>
      </c>
    </row>
    <row r="37" spans="1:1" s="5" customFormat="1">
      <c r="A37" s="5" t="s">
        <v>2004</v>
      </c>
    </row>
    <row r="38" spans="1:1" s="5" customFormat="1"/>
    <row r="39" spans="1:1" s="5" customFormat="1" ht="21">
      <c r="A39" s="974" t="s">
        <v>2005</v>
      </c>
    </row>
    <row r="40" spans="1:1" s="5" customFormat="1">
      <c r="A40" s="5" t="s">
        <v>2006</v>
      </c>
    </row>
    <row r="41" spans="1:1" s="5" customFormat="1">
      <c r="A41" s="5" t="s">
        <v>2007</v>
      </c>
    </row>
    <row r="42" spans="1:1" s="5" customFormat="1">
      <c r="A42" s="5" t="s">
        <v>2008</v>
      </c>
    </row>
    <row r="43" spans="1:1" s="5" customFormat="1">
      <c r="A43" s="5" t="s">
        <v>2009</v>
      </c>
    </row>
    <row r="44" spans="1:1" s="5" customFormat="1">
      <c r="A44" s="5" t="s">
        <v>2010</v>
      </c>
    </row>
    <row r="45" spans="1:1" s="5" customFormat="1">
      <c r="A45" s="975" t="s">
        <v>2011</v>
      </c>
    </row>
    <row r="46" spans="1:1" s="5" customFormat="1">
      <c r="A46" s="975"/>
    </row>
    <row r="47" spans="1:1" s="5" customFormat="1" ht="21">
      <c r="A47" s="974" t="s">
        <v>2012</v>
      </c>
    </row>
    <row r="48" spans="1:1" s="5" customFormat="1">
      <c r="A48" s="5" t="s">
        <v>2013</v>
      </c>
    </row>
    <row r="49" spans="1:2" s="5" customFormat="1">
      <c r="A49" s="982" t="s">
        <v>2014</v>
      </c>
    </row>
    <row r="50" spans="1:2" s="5" customFormat="1">
      <c r="A50" s="979" t="s">
        <v>2015</v>
      </c>
    </row>
    <row r="51" spans="1:2" s="5" customFormat="1">
      <c r="A51" s="979" t="s">
        <v>2016</v>
      </c>
    </row>
    <row r="52" spans="1:2" s="5" customFormat="1">
      <c r="A52" s="5" t="s">
        <v>2017</v>
      </c>
    </row>
    <row r="53" spans="1:2" s="5" customFormat="1"/>
    <row r="54" spans="1:2" s="5" customFormat="1" ht="21">
      <c r="A54" s="974" t="s">
        <v>2018</v>
      </c>
    </row>
    <row r="55" spans="1:2" s="5" customFormat="1">
      <c r="A55" s="5" t="s">
        <v>2019</v>
      </c>
      <c r="B55" s="1" t="s">
        <v>2020</v>
      </c>
    </row>
    <row r="56" spans="1:2" s="5" customFormat="1">
      <c r="A56" s="5" t="s">
        <v>2021</v>
      </c>
    </row>
    <row r="57" spans="1:2" s="5" customFormat="1">
      <c r="A57" s="5" t="s">
        <v>2022</v>
      </c>
    </row>
    <row r="58" spans="1:2" s="5" customFormat="1">
      <c r="A58" s="5" t="s">
        <v>2023</v>
      </c>
    </row>
    <row r="59" spans="1:2" s="5" customFormat="1"/>
    <row r="60" spans="1:2" s="5" customFormat="1" ht="21">
      <c r="A60" s="974" t="s">
        <v>2024</v>
      </c>
    </row>
    <row r="61" spans="1:2" s="5" customFormat="1">
      <c r="A61" s="5" t="s">
        <v>2025</v>
      </c>
    </row>
    <row r="62" spans="1:2" s="5" customFormat="1">
      <c r="A62" s="5" t="s">
        <v>2026</v>
      </c>
    </row>
    <row r="63" spans="1:2" s="5" customFormat="1"/>
    <row r="64" spans="1:2" s="5" customFormat="1" ht="21">
      <c r="A64" s="974" t="s">
        <v>2027</v>
      </c>
    </row>
    <row r="65" spans="1:1" s="5" customFormat="1">
      <c r="A65" s="5" t="s">
        <v>2028</v>
      </c>
    </row>
    <row r="66" spans="1:1" s="5" customFormat="1">
      <c r="A66" s="982" t="s">
        <v>2029</v>
      </c>
    </row>
    <row r="67" spans="1:1" s="5" customFormat="1">
      <c r="A67" s="979" t="s">
        <v>2030</v>
      </c>
    </row>
    <row r="68" spans="1:1" s="5" customFormat="1">
      <c r="A68" s="979" t="s">
        <v>2031</v>
      </c>
    </row>
  </sheetData>
  <sheetProtection sheet="1" objects="1" scenarios="1"/>
  <hyperlinks>
    <hyperlink ref="G8" r:id="rId1" xr:uid="{00000000-0004-0000-0200-000000000000}"/>
    <hyperlink ref="B55" r:id="rId2" xr:uid="{00000000-0004-0000-0200-000001000000}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7" tint="-0.499984740745262"/>
    <pageSetUpPr fitToPage="1"/>
  </sheetPr>
  <dimension ref="A1:J82"/>
  <sheetViews>
    <sheetView showGridLines="0" view="pageLayout" topLeftCell="A10" zoomScale="50" zoomScaleNormal="40" zoomScaleSheetLayoutView="85" zoomScalePageLayoutView="50" workbookViewId="0">
      <selection activeCell="A27" sqref="A27"/>
    </sheetView>
  </sheetViews>
  <sheetFormatPr defaultColWidth="6.5703125" defaultRowHeight="20.25"/>
  <cols>
    <col min="1" max="1" width="85.85546875" style="6" customWidth="1"/>
    <col min="2" max="2" width="55.42578125" style="6" customWidth="1"/>
    <col min="3" max="3" width="8.85546875" style="11" customWidth="1"/>
    <col min="4" max="4" width="22.7109375" style="6" customWidth="1"/>
    <col min="5" max="5" width="18" style="6" customWidth="1"/>
    <col min="6" max="6" width="40.85546875" style="6" customWidth="1"/>
    <col min="7" max="7" width="3.42578125" style="6" customWidth="1"/>
    <col min="8" max="8" width="7.5703125" style="6" customWidth="1"/>
    <col min="9" max="9" width="6.42578125" customWidth="1"/>
    <col min="10" max="10" width="4.5703125" customWidth="1"/>
    <col min="11" max="11" width="6.5703125" customWidth="1"/>
  </cols>
  <sheetData>
    <row r="1" spans="1:10" ht="41.25" customHeight="1">
      <c r="A1" s="1011" t="str">
        <f>IF(B4&lt;&gt;"",B4,"Podaci o subjektu")</f>
        <v>ZIF " prevent INVEST " d.d.</v>
      </c>
      <c r="B1" s="1011"/>
      <c r="C1" s="1011"/>
      <c r="D1" s="1011"/>
      <c r="E1" s="1011"/>
      <c r="F1" s="1011"/>
      <c r="G1" s="934"/>
      <c r="H1" s="1032" t="str">
        <f>IF(ISERROR(IF(LEN(CONCATENATE("*",$A$4,'#UNOS'!B30,IF(LEN(A58)=0,"",IF(LEN(A58)=0,"",RIGHT(TEXT(A58,"dd.mm.yyyy"),2))),D58,"*"))&lt;&gt;24,"",CONCATENATE("*",$A$4,'#UNOS'!B30,IF(LEN(A75)=0,"",IF(LEN(A58)=0,"",RIGHT(TEXT(A58,"dd.mm.yyyy"),2))),D58,"*"))),"",IF(LEN(CONCATENATE("*",$A$4,'#UNOS'!B30,IF(LEN(A58)=0,"",IF(LEN(A58)=0,"",RIGHT(TEXT(A58,"dd.mm.yyyy"),2))),D58,"*"))&lt;&gt;24,"",CONCATENATE("*",$A$4,'#UNOS'!B30,IF(LEN(A58)=0,"",IF(LEN(A58)=0,"",RIGHT(TEXT(A58,"dd.mm.yyyy"),2))),D58,"*")))</f>
        <v>*4200191740002102244985*</v>
      </c>
      <c r="I1" s="159"/>
      <c r="J1" s="159"/>
    </row>
    <row r="2" spans="1:10" ht="29.25" customHeight="1">
      <c r="A2" s="936"/>
      <c r="B2" s="936"/>
      <c r="C2" s="936"/>
      <c r="D2" s="936"/>
      <c r="E2" s="1017" t="s">
        <v>2032</v>
      </c>
      <c r="F2" s="1017"/>
      <c r="G2" s="160"/>
      <c r="H2" s="1032"/>
      <c r="I2" s="159"/>
      <c r="J2" s="159"/>
    </row>
    <row r="3" spans="1:10" ht="36.75">
      <c r="A3" s="891" t="s">
        <v>2033</v>
      </c>
      <c r="B3" s="937" t="s">
        <v>2034</v>
      </c>
      <c r="C3" s="938"/>
      <c r="D3" s="939"/>
      <c r="E3" s="939"/>
      <c r="F3" s="939"/>
      <c r="G3" s="160"/>
      <c r="H3" s="1032"/>
      <c r="I3" s="159"/>
      <c r="J3" s="159"/>
    </row>
    <row r="4" spans="1:10" ht="37.5">
      <c r="A4" s="897" t="s">
        <v>2035</v>
      </c>
      <c r="B4" s="1014" t="s">
        <v>2036</v>
      </c>
      <c r="C4" s="1008"/>
      <c r="D4" s="1008"/>
      <c r="E4" s="1008"/>
      <c r="F4" s="1008"/>
      <c r="G4" s="160"/>
      <c r="H4" s="1032"/>
      <c r="I4" s="159"/>
      <c r="J4" s="159"/>
    </row>
    <row r="5" spans="1:10" ht="29.25" customHeight="1">
      <c r="A5" s="162"/>
      <c r="B5" s="159"/>
      <c r="C5" s="159"/>
      <c r="D5" s="159"/>
      <c r="E5" s="159"/>
      <c r="F5" s="159"/>
      <c r="G5" s="160"/>
      <c r="H5" s="1032"/>
      <c r="I5" s="159"/>
      <c r="J5" s="159"/>
    </row>
    <row r="6" spans="1:10" ht="26.25">
      <c r="A6" s="940" t="s">
        <v>2037</v>
      </c>
      <c r="B6" s="993" t="s">
        <v>16</v>
      </c>
      <c r="C6" s="941"/>
      <c r="D6" s="942" t="s">
        <v>1937</v>
      </c>
      <c r="E6" s="160"/>
      <c r="F6" s="160"/>
      <c r="G6" s="160"/>
      <c r="H6" s="1032"/>
      <c r="I6" s="159"/>
      <c r="J6" s="159"/>
    </row>
    <row r="7" spans="1:10" ht="26.25">
      <c r="A7" s="967"/>
      <c r="B7" s="994" t="s">
        <v>64</v>
      </c>
      <c r="C7" s="943"/>
      <c r="D7" s="1015" t="s">
        <v>2698</v>
      </c>
      <c r="E7" s="1016"/>
      <c r="F7" s="160"/>
      <c r="G7" s="160"/>
      <c r="H7" s="1032"/>
      <c r="I7" s="159"/>
      <c r="J7" s="159"/>
    </row>
    <row r="8" spans="1:10" ht="29.25" customHeight="1">
      <c r="A8" s="162"/>
      <c r="B8" s="160"/>
      <c r="C8" s="163"/>
      <c r="D8" s="944"/>
      <c r="G8" s="160"/>
      <c r="H8" s="1032"/>
      <c r="I8" s="159"/>
      <c r="J8" s="159"/>
    </row>
    <row r="9" spans="1:10" ht="29.25" customHeight="1">
      <c r="A9" s="945" t="s">
        <v>2038</v>
      </c>
      <c r="B9" s="996" t="s">
        <v>2039</v>
      </c>
      <c r="C9" s="163"/>
      <c r="D9" s="946"/>
      <c r="E9" s="1005" t="s">
        <v>2040</v>
      </c>
      <c r="F9" s="1006"/>
      <c r="G9" s="160"/>
      <c r="H9" s="1032"/>
      <c r="I9" s="159"/>
      <c r="J9" s="159"/>
    </row>
    <row r="10" spans="1:10" ht="29.25" customHeight="1">
      <c r="A10" s="898" t="s">
        <v>559</v>
      </c>
      <c r="B10" s="997" t="str">
        <f>IF(ISERROR(VLOOKUP(A10,'#Konverter'!A2:B80,2,FALSE())),"",CONCATENATE(VLOOKUP(A10,'#Konverter'!A2:B80,2,FALSE())))</f>
        <v>108</v>
      </c>
      <c r="C10" s="162"/>
      <c r="D10" s="947"/>
      <c r="E10" s="948"/>
      <c r="F10" s="949"/>
      <c r="G10" s="160"/>
      <c r="H10" s="1032"/>
      <c r="I10" s="159"/>
      <c r="J10" s="159"/>
    </row>
    <row r="11" spans="1:10" ht="29.25" customHeight="1">
      <c r="A11" s="162"/>
      <c r="B11" s="160"/>
      <c r="C11" s="163"/>
      <c r="D11" s="950"/>
      <c r="E11" s="948"/>
      <c r="F11" s="951"/>
      <c r="G11" s="160"/>
      <c r="H11" s="1032"/>
      <c r="I11" s="159"/>
      <c r="J11" s="159"/>
    </row>
    <row r="12" spans="1:10" ht="26.25">
      <c r="A12" s="952" t="s">
        <v>1939</v>
      </c>
      <c r="B12" s="953"/>
      <c r="C12" s="953"/>
      <c r="D12" s="954"/>
      <c r="E12" s="1009" t="s">
        <v>2041</v>
      </c>
      <c r="F12" s="1010"/>
      <c r="G12" s="160"/>
      <c r="H12" s="1032"/>
      <c r="I12" s="159"/>
      <c r="J12" s="159"/>
    </row>
    <row r="13" spans="1:10" ht="26.25">
      <c r="A13" s="1007" t="s">
        <v>2042</v>
      </c>
      <c r="B13" s="1008"/>
      <c r="C13" s="1008"/>
      <c r="D13" s="1008"/>
      <c r="E13" s="1008"/>
      <c r="F13" s="1008"/>
      <c r="G13" s="160"/>
      <c r="H13" s="1032"/>
      <c r="I13" s="159"/>
      <c r="J13" s="159"/>
    </row>
    <row r="14" spans="1:10" ht="29.25" customHeight="1">
      <c r="A14" s="955"/>
      <c r="B14" s="160"/>
      <c r="C14" s="163"/>
      <c r="D14" s="160"/>
      <c r="E14" s="160"/>
      <c r="F14" s="160"/>
      <c r="G14" s="160"/>
      <c r="H14" s="1032"/>
      <c r="I14" s="159"/>
      <c r="J14" s="159"/>
    </row>
    <row r="15" spans="1:10" ht="26.25">
      <c r="A15" s="945" t="s">
        <v>2043</v>
      </c>
      <c r="B15" s="995" t="s">
        <v>1941</v>
      </c>
      <c r="C15" s="956"/>
      <c r="D15" s="381" t="s">
        <v>1964</v>
      </c>
      <c r="E15" s="160"/>
      <c r="F15" s="160"/>
      <c r="G15" s="160"/>
      <c r="H15" s="1032"/>
      <c r="I15" s="159"/>
      <c r="J15" s="159"/>
    </row>
    <row r="16" spans="1:10" ht="29.25" customHeight="1">
      <c r="A16" s="898" t="s">
        <v>2697</v>
      </c>
      <c r="B16" s="973" t="str">
        <f>RIGHT(A4,12)</f>
        <v>200191740002</v>
      </c>
      <c r="C16" s="382"/>
      <c r="D16" s="365" t="s">
        <v>2044</v>
      </c>
      <c r="E16" s="957"/>
      <c r="F16" s="164"/>
      <c r="G16" s="160"/>
      <c r="H16" s="1032"/>
      <c r="I16" s="159"/>
      <c r="J16" s="159"/>
    </row>
    <row r="17" spans="1:10" ht="29.25" customHeight="1">
      <c r="A17" s="955"/>
      <c r="B17" s="164"/>
      <c r="C17" s="164"/>
      <c r="D17" s="164"/>
      <c r="E17" s="164"/>
      <c r="F17" s="164"/>
      <c r="G17" s="160"/>
      <c r="H17" s="1032"/>
      <c r="I17" s="159"/>
      <c r="J17" s="159"/>
    </row>
    <row r="18" spans="1:10" ht="26.25">
      <c r="A18" s="958" t="s">
        <v>1946</v>
      </c>
      <c r="C18" s="959"/>
      <c r="D18" s="959"/>
      <c r="E18" s="959"/>
      <c r="F18" s="959"/>
      <c r="G18" s="160"/>
      <c r="H18" s="1032"/>
      <c r="I18" s="159"/>
      <c r="J18" s="159"/>
    </row>
    <row r="19" spans="1:10" ht="26.25">
      <c r="A19" s="899" t="s">
        <v>1647</v>
      </c>
      <c r="B19" s="1004" t="str">
        <f>IF(A19="","",IF(ISERROR(VLOOKUP(A19,'#Konverter'!I2:J824,2,FALSE())),"Neispravna ili nepostojeća šifra djelatnosti.",VLOOKUP(A19,'#Konverter'!I2:J824,2,FALSE())))</f>
        <v>Trustovi, ostali fondovi i slični finansijski subjekti</v>
      </c>
      <c r="C19" s="1004"/>
      <c r="D19" s="1004"/>
      <c r="E19" s="1004"/>
      <c r="F19" s="1004"/>
      <c r="G19" s="935"/>
      <c r="H19" s="1032"/>
      <c r="I19" s="159"/>
      <c r="J19" s="159"/>
    </row>
    <row r="20" spans="1:10" ht="22.5">
      <c r="A20" s="162"/>
      <c r="B20" s="1004"/>
      <c r="C20" s="1004"/>
      <c r="D20" s="1004"/>
      <c r="E20" s="1004"/>
      <c r="F20" s="1004"/>
      <c r="G20" s="935"/>
      <c r="H20" s="1032"/>
      <c r="I20" s="159"/>
      <c r="J20" s="159"/>
    </row>
    <row r="21" spans="1:10" ht="22.5">
      <c r="A21" s="162"/>
      <c r="B21" s="960"/>
      <c r="C21" s="960"/>
      <c r="D21" s="960"/>
      <c r="E21" s="960"/>
      <c r="F21" s="960"/>
      <c r="G21" s="935"/>
      <c r="H21" s="1032"/>
      <c r="I21" s="159"/>
      <c r="J21" s="159"/>
    </row>
    <row r="22" spans="1:10" ht="26.25">
      <c r="A22" s="962" t="s">
        <v>2045</v>
      </c>
      <c r="B22" s="160"/>
      <c r="C22" s="163"/>
      <c r="D22" s="961"/>
      <c r="E22" s="165"/>
      <c r="F22" s="160"/>
      <c r="G22" s="935"/>
      <c r="H22" s="1032"/>
      <c r="I22" s="159"/>
      <c r="J22" s="159"/>
    </row>
    <row r="23" spans="1:10" ht="26.25">
      <c r="A23" s="899" t="s">
        <v>2699</v>
      </c>
      <c r="B23" s="1022" t="str">
        <f>IF(ISERROR(VLOOKUP(LEFT(A23,3),'#Konverter'!Q2:R19,2,FALSE)),"",VLOOKUP(LEFT(A23,3),'#Konverter'!Q2:R19,2,FALSE))</f>
        <v>Raiffeisen Bank d.d. BiH</v>
      </c>
      <c r="C23" s="1022"/>
      <c r="D23" s="1022"/>
      <c r="E23" s="1022"/>
      <c r="F23" s="1022"/>
      <c r="G23" s="935"/>
      <c r="H23" s="1032"/>
      <c r="I23" s="159"/>
      <c r="J23" s="159"/>
    </row>
    <row r="24" spans="1:10" ht="42" customHeight="1">
      <c r="A24" s="160"/>
      <c r="B24" s="160"/>
      <c r="C24" s="163"/>
      <c r="D24" s="166"/>
      <c r="E24" s="166"/>
      <c r="F24" s="166"/>
      <c r="G24" s="160"/>
      <c r="H24" s="1032"/>
      <c r="I24" s="159"/>
      <c r="J24" s="159"/>
    </row>
    <row r="25" spans="1:10" ht="38.25" customHeight="1">
      <c r="A25" s="1027" t="s">
        <v>2046</v>
      </c>
      <c r="B25" s="1027"/>
      <c r="C25" s="1027"/>
      <c r="D25" s="166"/>
      <c r="E25" s="166"/>
      <c r="F25" s="166"/>
      <c r="G25" s="160"/>
      <c r="H25" s="1032"/>
      <c r="I25" s="159"/>
      <c r="J25" s="159"/>
    </row>
    <row r="26" spans="1:10" ht="36.75" customHeight="1">
      <c r="A26" s="963" t="s">
        <v>1936</v>
      </c>
      <c r="B26" s="381" t="s">
        <v>1934</v>
      </c>
      <c r="C26" s="964"/>
      <c r="D26" s="965"/>
      <c r="E26" s="966" t="s">
        <v>1935</v>
      </c>
      <c r="F26" s="161"/>
      <c r="G26" s="160"/>
      <c r="H26" s="1032"/>
      <c r="I26" s="159"/>
      <c r="J26" s="159"/>
    </row>
    <row r="27" spans="1:10" ht="37.5" customHeight="1">
      <c r="A27" s="927" t="s">
        <v>2700</v>
      </c>
      <c r="B27" s="1025" t="s">
        <v>2707</v>
      </c>
      <c r="C27" s="1025"/>
      <c r="D27" s="1026"/>
      <c r="E27" s="1024" t="s">
        <v>2708</v>
      </c>
      <c r="F27" s="1024"/>
      <c r="G27" s="160"/>
      <c r="H27" s="1032"/>
      <c r="I27" s="159"/>
      <c r="J27" s="159"/>
    </row>
    <row r="28" spans="1:10" ht="41.25" customHeight="1">
      <c r="A28" s="160"/>
      <c r="B28" s="160"/>
      <c r="C28" s="163"/>
      <c r="D28" s="166"/>
      <c r="E28" s="166"/>
      <c r="F28" s="166"/>
      <c r="G28" s="160"/>
      <c r="H28" s="1032"/>
      <c r="I28" s="159"/>
      <c r="J28" s="159"/>
    </row>
    <row r="29" spans="1:10" ht="38.25" customHeight="1">
      <c r="A29" s="926" t="s">
        <v>2047</v>
      </c>
      <c r="B29" s="163"/>
      <c r="C29" s="160"/>
      <c r="D29" s="160"/>
      <c r="E29" s="160"/>
      <c r="F29" s="160"/>
      <c r="G29" s="160"/>
      <c r="H29" s="159"/>
      <c r="I29" s="159"/>
    </row>
    <row r="30" spans="1:10" ht="27" customHeight="1">
      <c r="A30" s="891" t="s">
        <v>2048</v>
      </c>
      <c r="B30" s="1000" t="s">
        <v>2049</v>
      </c>
      <c r="C30" s="1001"/>
      <c r="D30" s="383" t="s">
        <v>2050</v>
      </c>
      <c r="E30" s="384"/>
      <c r="F30" s="383" t="s">
        <v>2051</v>
      </c>
      <c r="G30" s="160"/>
      <c r="H30" s="160"/>
      <c r="I30" s="159"/>
      <c r="J30" s="159"/>
    </row>
    <row r="31" spans="1:10" ht="26.25">
      <c r="A31" s="928" t="s">
        <v>2701</v>
      </c>
      <c r="B31" s="1016" t="s">
        <v>2702</v>
      </c>
      <c r="C31" s="1023"/>
      <c r="D31" s="805" t="s">
        <v>2703</v>
      </c>
      <c r="E31" s="385"/>
      <c r="F31" s="365" t="s">
        <v>2704</v>
      </c>
      <c r="G31" s="160"/>
      <c r="H31" s="160"/>
      <c r="I31" s="159"/>
      <c r="J31" s="159"/>
    </row>
    <row r="32" spans="1:10">
      <c r="A32" s="160"/>
      <c r="B32" s="160"/>
      <c r="C32" s="160"/>
      <c r="D32" s="160"/>
      <c r="E32" s="160"/>
      <c r="F32" s="160"/>
      <c r="G32" s="160"/>
      <c r="H32" s="160"/>
      <c r="I32" s="160"/>
      <c r="J32" s="159"/>
    </row>
    <row r="33" spans="1:10" ht="26.25">
      <c r="A33" s="932" t="s">
        <v>2052</v>
      </c>
      <c r="B33" s="992" t="s">
        <v>2053</v>
      </c>
      <c r="C33" s="164"/>
      <c r="D33" s="160"/>
      <c r="E33" s="160"/>
      <c r="F33" s="160"/>
      <c r="G33" s="160"/>
      <c r="H33" s="160"/>
      <c r="I33" s="159"/>
      <c r="J33" s="159"/>
    </row>
    <row r="34" spans="1:10" ht="26.25">
      <c r="A34" s="931" t="s">
        <v>2705</v>
      </c>
      <c r="B34" s="930" t="s">
        <v>2054</v>
      </c>
      <c r="C34" s="929"/>
      <c r="D34" s="168"/>
      <c r="E34" s="168"/>
      <c r="F34" s="168"/>
      <c r="G34" s="160"/>
      <c r="H34" s="160"/>
      <c r="I34" s="159"/>
      <c r="J34" s="159"/>
    </row>
    <row r="35" spans="1:10" s="9" customFormat="1">
      <c r="A35" s="160"/>
      <c r="B35" s="160"/>
      <c r="C35" s="163"/>
      <c r="D35" s="160"/>
      <c r="E35" s="160"/>
      <c r="F35" s="160"/>
      <c r="G35" s="160"/>
      <c r="H35" s="160"/>
      <c r="I35" s="159"/>
      <c r="J35" s="159"/>
    </row>
    <row r="36" spans="1:10" s="9" customFormat="1">
      <c r="A36" s="160"/>
      <c r="B36" s="160"/>
      <c r="C36" s="163"/>
      <c r="D36" s="160"/>
      <c r="E36" s="160"/>
      <c r="F36" s="160"/>
      <c r="G36" s="160"/>
      <c r="H36" s="160"/>
      <c r="I36" s="159"/>
      <c r="J36" s="159"/>
    </row>
    <row r="37" spans="1:10" s="9" customFormat="1" ht="26.25">
      <c r="A37" s="905" t="s">
        <v>2055</v>
      </c>
      <c r="B37" s="164"/>
      <c r="C37" s="896"/>
      <c r="D37" s="164"/>
      <c r="E37" s="164"/>
      <c r="F37" s="164"/>
      <c r="G37" s="160"/>
      <c r="H37" s="160"/>
      <c r="I37" s="159"/>
      <c r="J37" s="159"/>
    </row>
    <row r="38" spans="1:10" s="9" customFormat="1" ht="33" customHeight="1">
      <c r="A38" s="906" t="s">
        <v>2056</v>
      </c>
      <c r="B38" s="907"/>
      <c r="C38" s="908"/>
      <c r="D38" s="909"/>
      <c r="E38" s="909"/>
      <c r="F38" s="910" t="s">
        <v>2057</v>
      </c>
      <c r="G38" s="160"/>
      <c r="H38" s="160"/>
      <c r="I38" s="159"/>
      <c r="J38" s="159"/>
    </row>
    <row r="39" spans="1:10" s="9" customFormat="1" ht="33" customHeight="1">
      <c r="A39" s="911" t="s">
        <v>2058</v>
      </c>
      <c r="B39" s="912"/>
      <c r="C39" s="913"/>
      <c r="D39" s="914"/>
      <c r="E39" s="914"/>
      <c r="F39" s="915"/>
      <c r="G39" s="160"/>
      <c r="H39" s="160"/>
      <c r="I39" s="159"/>
      <c r="J39" s="159"/>
    </row>
    <row r="40" spans="1:10" s="9" customFormat="1" ht="33" customHeight="1">
      <c r="A40" s="916" t="s">
        <v>2059</v>
      </c>
      <c r="B40" s="917"/>
      <c r="C40" s="918"/>
      <c r="D40" s="919"/>
      <c r="E40" s="919"/>
      <c r="F40" s="920"/>
      <c r="G40" s="160"/>
      <c r="H40" s="160"/>
      <c r="I40" s="159"/>
      <c r="J40" s="159"/>
    </row>
    <row r="41" spans="1:10" s="9" customFormat="1" ht="33" customHeight="1">
      <c r="A41" s="916" t="s">
        <v>2060</v>
      </c>
      <c r="B41" s="1030"/>
      <c r="C41" s="1030"/>
      <c r="D41" s="1030"/>
      <c r="E41" s="919"/>
      <c r="F41" s="920"/>
      <c r="G41" s="160"/>
      <c r="H41" s="160"/>
      <c r="I41" s="159"/>
      <c r="J41" s="159"/>
    </row>
    <row r="42" spans="1:10" s="9" customFormat="1" ht="33" customHeight="1">
      <c r="A42" s="916" t="s">
        <v>2061</v>
      </c>
      <c r="B42" s="1031"/>
      <c r="C42" s="1031"/>
      <c r="D42" s="1031"/>
      <c r="E42" s="919"/>
      <c r="F42" s="920"/>
      <c r="G42" s="160"/>
      <c r="H42" s="160"/>
      <c r="I42" s="159"/>
      <c r="J42" s="159"/>
    </row>
    <row r="43" spans="1:10" s="9" customFormat="1" ht="33" customHeight="1">
      <c r="A43" s="916" t="s">
        <v>2062</v>
      </c>
      <c r="B43" s="1031"/>
      <c r="C43" s="1031"/>
      <c r="D43" s="1031"/>
      <c r="E43" s="919"/>
      <c r="F43" s="920"/>
      <c r="G43" s="160"/>
      <c r="H43" s="160"/>
      <c r="I43" s="159"/>
      <c r="J43" s="159"/>
    </row>
    <row r="44" spans="1:10" s="9" customFormat="1" ht="33" customHeight="1">
      <c r="A44" s="916" t="s">
        <v>2063</v>
      </c>
      <c r="B44" s="1031"/>
      <c r="C44" s="1031"/>
      <c r="D44" s="1031"/>
      <c r="E44" s="919"/>
      <c r="F44" s="920"/>
      <c r="G44" s="160"/>
      <c r="H44" s="160"/>
      <c r="I44" s="159"/>
      <c r="J44" s="159"/>
    </row>
    <row r="45" spans="1:10" s="9" customFormat="1" ht="33" customHeight="1">
      <c r="A45" s="916" t="s">
        <v>2064</v>
      </c>
      <c r="B45" s="1031"/>
      <c r="C45" s="1031"/>
      <c r="D45" s="1031"/>
      <c r="E45" s="919"/>
      <c r="F45" s="920"/>
      <c r="G45" s="160"/>
      <c r="H45" s="160"/>
      <c r="I45" s="159"/>
      <c r="J45" s="159"/>
    </row>
    <row r="46" spans="1:10" s="9" customFormat="1" ht="33" customHeight="1">
      <c r="A46" s="916" t="s">
        <v>2065</v>
      </c>
      <c r="B46" s="1028"/>
      <c r="C46" s="1029"/>
      <c r="D46" s="1029"/>
      <c r="E46" s="919"/>
      <c r="F46" s="920"/>
      <c r="G46" s="160"/>
      <c r="H46" s="160"/>
      <c r="I46" s="159"/>
      <c r="J46" s="159"/>
    </row>
    <row r="47" spans="1:10" s="9" customFormat="1" ht="33" customHeight="1">
      <c r="A47" s="916" t="s">
        <v>2066</v>
      </c>
      <c r="B47" s="917"/>
      <c r="C47" s="918"/>
      <c r="D47" s="919"/>
      <c r="E47" s="919"/>
      <c r="F47" s="920">
        <v>1</v>
      </c>
      <c r="G47" s="160"/>
      <c r="H47" s="160"/>
      <c r="I47" s="159"/>
      <c r="J47" s="159"/>
    </row>
    <row r="48" spans="1:10" s="9" customFormat="1" ht="33" customHeight="1">
      <c r="A48" s="921" t="s">
        <v>2067</v>
      </c>
      <c r="B48" s="922"/>
      <c r="C48" s="918"/>
      <c r="D48" s="919"/>
      <c r="E48" s="919"/>
      <c r="F48" s="923">
        <f>SUM(F39:G47)</f>
        <v>1</v>
      </c>
      <c r="G48" s="160"/>
      <c r="H48" s="160"/>
      <c r="I48" s="159"/>
      <c r="J48" s="159"/>
    </row>
    <row r="49" spans="1:10" s="9" customFormat="1" ht="5.25" customHeight="1">
      <c r="A49" s="924"/>
      <c r="B49" s="924"/>
      <c r="C49" s="925"/>
      <c r="D49" s="924"/>
      <c r="E49" s="924"/>
      <c r="F49" s="924"/>
      <c r="G49" s="160"/>
      <c r="H49" s="160"/>
      <c r="I49" s="159"/>
      <c r="J49" s="159"/>
    </row>
    <row r="50" spans="1:10" s="9" customFormat="1" ht="5.25" customHeight="1">
      <c r="A50" s="160"/>
      <c r="B50" s="160"/>
      <c r="C50" s="163"/>
      <c r="D50" s="160"/>
      <c r="E50" s="160"/>
      <c r="F50" s="160"/>
      <c r="G50" s="160"/>
      <c r="H50" s="160"/>
      <c r="I50" s="159"/>
      <c r="J50" s="159"/>
    </row>
    <row r="51" spans="1:10" s="9" customFormat="1" ht="5.25" customHeight="1">
      <c r="A51" s="160"/>
      <c r="B51" s="160"/>
      <c r="C51" s="163"/>
      <c r="D51" s="160"/>
      <c r="E51" s="160"/>
      <c r="F51" s="160"/>
      <c r="G51" s="160"/>
      <c r="H51" s="160"/>
      <c r="I51" s="159"/>
      <c r="J51" s="159"/>
    </row>
    <row r="52" spans="1:10" s="9" customFormat="1" ht="5.25" customHeight="1">
      <c r="A52" s="160"/>
      <c r="B52" s="160"/>
      <c r="C52" s="163"/>
      <c r="D52" s="160"/>
      <c r="E52" s="160"/>
      <c r="F52" s="160"/>
      <c r="G52" s="160"/>
      <c r="H52" s="160"/>
      <c r="I52" s="159"/>
      <c r="J52" s="159"/>
    </row>
    <row r="53" spans="1:10" s="9" customFormat="1" ht="38.25" customHeight="1">
      <c r="A53" s="1012" t="s">
        <v>2068</v>
      </c>
      <c r="B53" s="1012"/>
      <c r="C53" s="1012"/>
      <c r="D53" s="169"/>
      <c r="E53" s="169"/>
      <c r="F53" s="169"/>
      <c r="G53" s="160"/>
      <c r="H53" s="160"/>
      <c r="I53" s="169"/>
      <c r="J53" s="169"/>
    </row>
    <row r="54" spans="1:10" s="9" customFormat="1" ht="31.5" customHeight="1">
      <c r="A54" s="900" t="s">
        <v>18</v>
      </c>
      <c r="B54" s="379" t="s">
        <v>19</v>
      </c>
      <c r="C54" s="169"/>
      <c r="D54" s="169"/>
      <c r="E54" s="169"/>
      <c r="F54" s="169"/>
      <c r="G54" s="160"/>
      <c r="H54" s="160"/>
      <c r="I54" s="169"/>
      <c r="J54" s="169"/>
    </row>
    <row r="55" spans="1:10" s="9" customFormat="1" ht="28.5" customHeight="1">
      <c r="A55" s="901" t="s">
        <v>48</v>
      </c>
      <c r="B55" s="1013" t="s">
        <v>49</v>
      </c>
      <c r="C55" s="1013"/>
      <c r="D55" s="169"/>
      <c r="E55" s="169"/>
      <c r="F55" s="169"/>
      <c r="G55" s="160"/>
      <c r="H55" s="160"/>
      <c r="I55" s="169"/>
      <c r="J55" s="169"/>
    </row>
    <row r="56" spans="1:10" s="9" customFormat="1" ht="22.5">
      <c r="A56" s="162"/>
      <c r="B56" s="169"/>
      <c r="C56" s="169"/>
      <c r="D56" s="169"/>
      <c r="E56" s="169"/>
      <c r="F56" s="169"/>
      <c r="G56" s="160"/>
      <c r="H56" s="160"/>
      <c r="I56" s="169"/>
      <c r="J56" s="169"/>
    </row>
    <row r="57" spans="1:10" s="9" customFormat="1" ht="26.25">
      <c r="A57" s="902" t="s">
        <v>2069</v>
      </c>
      <c r="B57" s="381" t="s">
        <v>2070</v>
      </c>
      <c r="C57" s="164"/>
      <c r="D57" s="380" t="s">
        <v>2071</v>
      </c>
      <c r="E57" s="170"/>
      <c r="G57" s="160"/>
      <c r="H57" s="169"/>
      <c r="I57" s="169"/>
      <c r="J57" s="169"/>
    </row>
    <row r="58" spans="1:10" s="9" customFormat="1" ht="26.25">
      <c r="A58" s="968">
        <v>44562</v>
      </c>
      <c r="B58" s="1021">
        <v>44926</v>
      </c>
      <c r="C58" s="1021"/>
      <c r="D58" s="1020">
        <v>44985</v>
      </c>
      <c r="E58" s="1021"/>
      <c r="G58" s="159"/>
      <c r="H58" s="169"/>
      <c r="I58" s="169"/>
      <c r="J58" s="169"/>
    </row>
    <row r="59" spans="1:10" s="9" customFormat="1" ht="22.5">
      <c r="A59" s="171"/>
      <c r="B59" s="172"/>
      <c r="C59" s="172"/>
      <c r="D59" s="172"/>
      <c r="E59" s="172"/>
      <c r="F59" s="172"/>
      <c r="G59" s="160"/>
      <c r="H59" s="169"/>
      <c r="I59" s="169"/>
      <c r="J59" s="169"/>
    </row>
    <row r="60" spans="1:10" s="9" customFormat="1" ht="6" customHeight="1">
      <c r="A60" s="171"/>
      <c r="B60" s="172"/>
      <c r="C60" s="172"/>
      <c r="D60" s="172"/>
      <c r="E60" s="172"/>
      <c r="F60" s="172"/>
      <c r="G60" s="160"/>
      <c r="H60" s="169"/>
      <c r="I60" s="169"/>
      <c r="J60" s="169"/>
    </row>
    <row r="61" spans="1:10" s="9" customFormat="1" ht="26.25">
      <c r="A61" s="386" t="s">
        <v>17</v>
      </c>
      <c r="B61" s="164"/>
      <c r="C61" s="173"/>
      <c r="D61" s="164"/>
      <c r="E61" s="171"/>
      <c r="F61" s="159"/>
      <c r="G61" s="160"/>
      <c r="H61" s="169"/>
      <c r="I61" s="169"/>
      <c r="J61" s="169"/>
    </row>
    <row r="62" spans="1:10" s="9" customFormat="1" ht="26.25">
      <c r="A62" s="1002" t="s">
        <v>66</v>
      </c>
      <c r="B62" s="1003"/>
      <c r="C62" s="169"/>
      <c r="D62" s="169"/>
      <c r="E62" s="169"/>
      <c r="F62" s="159"/>
      <c r="G62" s="160"/>
      <c r="H62" s="169"/>
      <c r="I62" s="169"/>
      <c r="J62" s="169"/>
    </row>
    <row r="63" spans="1:10" s="9" customFormat="1" ht="11.25" customHeight="1">
      <c r="A63" s="169"/>
      <c r="B63" s="169"/>
      <c r="C63" s="169"/>
      <c r="D63" s="169"/>
      <c r="E63" s="169"/>
      <c r="F63" s="169"/>
      <c r="G63" s="160"/>
      <c r="H63" s="169"/>
      <c r="I63" s="169"/>
      <c r="J63" s="169"/>
    </row>
    <row r="64" spans="1:10" s="9" customFormat="1" ht="3.75" customHeight="1">
      <c r="A64" s="169"/>
      <c r="B64" s="169"/>
      <c r="C64" s="169"/>
      <c r="D64" s="169"/>
      <c r="E64" s="169"/>
      <c r="F64" s="169"/>
      <c r="G64" s="160"/>
      <c r="H64" s="169"/>
      <c r="I64" s="169"/>
      <c r="J64" s="169"/>
    </row>
    <row r="65" spans="1:10" s="9" customFormat="1" ht="3.75" customHeight="1">
      <c r="A65" s="169"/>
      <c r="B65" s="169"/>
      <c r="C65" s="169"/>
      <c r="D65" s="169"/>
      <c r="E65" s="169"/>
      <c r="F65" s="169"/>
      <c r="G65" s="160"/>
      <c r="H65" s="169"/>
      <c r="I65" s="169"/>
      <c r="J65" s="169"/>
    </row>
    <row r="66" spans="1:10" ht="26.25">
      <c r="A66" s="386" t="s">
        <v>2072</v>
      </c>
      <c r="B66" s="174"/>
      <c r="C66" s="174"/>
      <c r="D66" s="174"/>
      <c r="E66" s="164"/>
      <c r="F66" s="175"/>
      <c r="G66" s="160"/>
      <c r="H66" s="160"/>
      <c r="I66" s="159"/>
      <c r="J66" s="159"/>
    </row>
    <row r="67" spans="1:10" ht="26.25">
      <c r="A67" s="998" t="s">
        <v>2073</v>
      </c>
      <c r="B67" s="999"/>
      <c r="C67" s="999"/>
      <c r="D67" s="999"/>
      <c r="E67" s="999"/>
      <c r="F67" s="999"/>
      <c r="G67" s="160"/>
      <c r="H67" s="160"/>
      <c r="I67" s="159"/>
      <c r="J67" s="159"/>
    </row>
    <row r="68" spans="1:10" ht="22.5">
      <c r="A68" s="164"/>
      <c r="B68" s="164"/>
      <c r="C68" s="173"/>
      <c r="D68" s="164"/>
      <c r="E68" s="164"/>
      <c r="F68" s="164"/>
      <c r="G68" s="160"/>
      <c r="H68" s="169"/>
      <c r="I68" s="169"/>
      <c r="J68" s="169"/>
    </row>
    <row r="69" spans="1:10" s="9" customFormat="1" ht="26.25">
      <c r="A69" s="932" t="s">
        <v>2074</v>
      </c>
      <c r="B69" s="933" t="s">
        <v>2075</v>
      </c>
      <c r="C69" s="903"/>
      <c r="D69" s="160"/>
      <c r="E69" s="169"/>
      <c r="F69" s="169"/>
      <c r="G69" s="169"/>
    </row>
    <row r="70" spans="1:10" s="9" customFormat="1" ht="26.25">
      <c r="A70" s="931" t="s">
        <v>2706</v>
      </c>
      <c r="B70" s="930">
        <v>33407172</v>
      </c>
      <c r="C70" s="904"/>
      <c r="D70" s="160"/>
      <c r="E70" s="160"/>
      <c r="F70" s="159"/>
      <c r="G70" s="159"/>
    </row>
    <row r="71" spans="1:10" ht="22.5">
      <c r="A71" s="568"/>
      <c r="B71" s="164"/>
      <c r="C71" s="173"/>
      <c r="D71" s="164"/>
      <c r="E71" s="164"/>
      <c r="F71" s="164"/>
      <c r="G71" s="160"/>
      <c r="H71" s="176"/>
      <c r="I71" s="169"/>
      <c r="J71" s="169"/>
    </row>
    <row r="72" spans="1:10" ht="22.5">
      <c r="A72" s="568"/>
      <c r="B72" s="164"/>
      <c r="C72" s="173"/>
      <c r="D72" s="164"/>
      <c r="E72" s="164"/>
      <c r="F72" s="164"/>
      <c r="G72" s="160"/>
      <c r="H72" s="176"/>
      <c r="I72" s="169"/>
      <c r="J72" s="169"/>
    </row>
    <row r="73" spans="1:10" ht="100.5" customHeight="1">
      <c r="A73" s="1018" t="str">
        <f>IF(ISERROR(H1),"Nepotpun JIB+! Obavezna polja: JIB, tip izvještaja, izvještajna godina i datum sastavljanja.",IF(LEN(H1)&lt;&gt;24,"Nepotpun JIB+! Obavezna polja: JIB, tip izvještaja, izvještajna godina i datum sastavljanja.",CONCATENATE("JIB+    ",MID(H1,2,22))))</f>
        <v>JIB+    4200191740002102244985</v>
      </c>
      <c r="B73" s="1018"/>
      <c r="C73" s="1018"/>
      <c r="D73" s="1018"/>
      <c r="E73" s="1018"/>
      <c r="F73" s="1018"/>
      <c r="G73" s="1018"/>
      <c r="H73" s="1018"/>
      <c r="I73" s="159"/>
      <c r="J73" s="159"/>
    </row>
    <row r="74" spans="1:10" ht="9.75" customHeight="1">
      <c r="A74" s="159"/>
      <c r="B74" s="159"/>
      <c r="C74" s="159"/>
      <c r="D74" s="159"/>
      <c r="E74" s="159"/>
      <c r="F74" s="159"/>
      <c r="G74" s="159"/>
      <c r="H74" s="160"/>
      <c r="I74" s="159"/>
      <c r="J74" s="159"/>
    </row>
    <row r="75" spans="1:10" ht="34.5" customHeight="1">
      <c r="A75" s="1019" t="s">
        <v>2076</v>
      </c>
      <c r="B75" s="1019"/>
      <c r="C75" s="1019"/>
      <c r="D75" s="1019"/>
      <c r="E75" s="1019"/>
      <c r="F75" s="1019"/>
      <c r="G75" s="1019"/>
      <c r="H75" s="1019"/>
      <c r="I75" s="159"/>
      <c r="J75" s="159"/>
    </row>
    <row r="76" spans="1:10">
      <c r="A76" s="160"/>
      <c r="B76" s="160"/>
      <c r="C76" s="163"/>
      <c r="D76" s="160"/>
      <c r="E76" s="160"/>
      <c r="F76" s="160"/>
      <c r="G76" s="160"/>
      <c r="H76" s="160"/>
      <c r="I76" s="159"/>
      <c r="J76" s="159"/>
    </row>
    <row r="77" spans="1:10">
      <c r="A77" s="160"/>
      <c r="B77" s="160"/>
      <c r="C77" s="163"/>
      <c r="D77" s="160"/>
      <c r="E77" s="160"/>
      <c r="F77" s="160"/>
      <c r="G77" s="160"/>
      <c r="H77" s="160"/>
      <c r="I77" s="159"/>
      <c r="J77" s="159"/>
    </row>
    <row r="78" spans="1:10">
      <c r="A78" s="160"/>
      <c r="B78" s="160"/>
      <c r="C78" s="163"/>
      <c r="D78" s="160"/>
      <c r="E78" s="160"/>
      <c r="F78" s="160"/>
      <c r="G78" s="160"/>
      <c r="H78" s="160"/>
      <c r="I78" s="159"/>
      <c r="J78" s="159"/>
    </row>
    <row r="79" spans="1:10">
      <c r="A79" s="160"/>
      <c r="B79" s="160"/>
      <c r="C79" s="163"/>
      <c r="D79" s="160"/>
      <c r="E79" s="160"/>
      <c r="F79" s="160"/>
      <c r="G79" s="160"/>
      <c r="H79" s="160"/>
      <c r="I79" s="159"/>
      <c r="J79" s="159"/>
    </row>
    <row r="80" spans="1:10">
      <c r="A80" s="160"/>
      <c r="B80" s="160"/>
      <c r="C80" s="163"/>
      <c r="D80" s="160"/>
      <c r="E80" s="160"/>
      <c r="F80" s="160"/>
      <c r="G80" s="160"/>
      <c r="H80" s="160"/>
      <c r="I80" s="159"/>
      <c r="J80" s="159"/>
    </row>
    <row r="81" spans="1:10">
      <c r="A81" s="160"/>
      <c r="B81" s="160"/>
      <c r="C81" s="163"/>
      <c r="D81" s="160"/>
      <c r="E81" s="160"/>
      <c r="F81" s="160"/>
      <c r="G81" s="160"/>
      <c r="H81" s="160"/>
      <c r="I81" s="159"/>
      <c r="J81" s="159"/>
    </row>
    <row r="82" spans="1:10">
      <c r="A82" s="160"/>
      <c r="B82" s="160"/>
      <c r="C82" s="163"/>
      <c r="D82" s="160"/>
      <c r="E82" s="160"/>
      <c r="F82" s="160"/>
      <c r="G82" s="160"/>
      <c r="H82" s="160"/>
      <c r="I82" s="159"/>
      <c r="J82" s="159"/>
    </row>
  </sheetData>
  <sheetProtection sheet="1" objects="1" scenarios="1"/>
  <dataConsolidate/>
  <mergeCells count="29">
    <mergeCell ref="A73:H73"/>
    <mergeCell ref="A75:H75"/>
    <mergeCell ref="D58:E58"/>
    <mergeCell ref="B23:F23"/>
    <mergeCell ref="B31:C31"/>
    <mergeCell ref="E27:F27"/>
    <mergeCell ref="B27:D27"/>
    <mergeCell ref="A25:C25"/>
    <mergeCell ref="B46:D46"/>
    <mergeCell ref="B41:D41"/>
    <mergeCell ref="B42:D42"/>
    <mergeCell ref="B43:D43"/>
    <mergeCell ref="B44:D44"/>
    <mergeCell ref="B45:D45"/>
    <mergeCell ref="B58:C58"/>
    <mergeCell ref="H1:H28"/>
    <mergeCell ref="A1:F1"/>
    <mergeCell ref="A53:C53"/>
    <mergeCell ref="B55:C55"/>
    <mergeCell ref="B4:F4"/>
    <mergeCell ref="D7:E7"/>
    <mergeCell ref="E2:F2"/>
    <mergeCell ref="A67:F67"/>
    <mergeCell ref="B30:C30"/>
    <mergeCell ref="A62:B62"/>
    <mergeCell ref="B19:F20"/>
    <mergeCell ref="E9:F9"/>
    <mergeCell ref="A13:F13"/>
    <mergeCell ref="E12:F12"/>
  </mergeCells>
  <conditionalFormatting sqref="B4:F4">
    <cfRule type="expression" dxfId="115" priority="159">
      <formula>LEN(TRIM(B4))=0</formula>
    </cfRule>
  </conditionalFormatting>
  <conditionalFormatting sqref="B7 A62 A10">
    <cfRule type="expression" dxfId="114" priority="163">
      <formula>LEN(TRIM(A7))&gt;0</formula>
    </cfRule>
  </conditionalFormatting>
  <conditionalFormatting sqref="A13">
    <cfRule type="expression" dxfId="113" priority="140">
      <formula>LEN(TRIM(A13))=0</formula>
    </cfRule>
  </conditionalFormatting>
  <conditionalFormatting sqref="A4">
    <cfRule type="expression" dxfId="112" priority="139">
      <formula>LEN(TRIM(A4))=0</formula>
    </cfRule>
  </conditionalFormatting>
  <conditionalFormatting sqref="A19">
    <cfRule type="expression" dxfId="111" priority="138">
      <formula>LEN(TRIM(A19))=0</formula>
    </cfRule>
  </conditionalFormatting>
  <conditionalFormatting sqref="A23">
    <cfRule type="expression" dxfId="110" priority="137">
      <formula>LEN(TRIM(A23))=0</formula>
    </cfRule>
  </conditionalFormatting>
  <conditionalFormatting sqref="A31">
    <cfRule type="expression" dxfId="109" priority="136">
      <formula>LEN(TRIM(A31))=0</formula>
    </cfRule>
  </conditionalFormatting>
  <conditionalFormatting sqref="B31:C31">
    <cfRule type="expression" dxfId="108" priority="135">
      <formula>LEN(TRIM(B31))=0</formula>
    </cfRule>
  </conditionalFormatting>
  <conditionalFormatting sqref="D31 F31">
    <cfRule type="expression" dxfId="107" priority="134">
      <formula>LEN(TRIM(D31))=0</formula>
    </cfRule>
  </conditionalFormatting>
  <conditionalFormatting sqref="A67">
    <cfRule type="expression" dxfId="106" priority="96">
      <formula>$A$67&lt;&gt;""</formula>
    </cfRule>
  </conditionalFormatting>
  <conditionalFormatting sqref="B15:B16">
    <cfRule type="expression" dxfId="105" priority="70">
      <formula>OR($A$16="",$A$16="Ne")</formula>
    </cfRule>
  </conditionalFormatting>
  <conditionalFormatting sqref="B9:B10">
    <cfRule type="expression" dxfId="104" priority="217">
      <formula>$A$10=""</formula>
    </cfRule>
  </conditionalFormatting>
  <conditionalFormatting sqref="A7">
    <cfRule type="expression" dxfId="103" priority="56">
      <formula>LEN(TRIM(A7))=0</formula>
    </cfRule>
  </conditionalFormatting>
  <conditionalFormatting sqref="A73">
    <cfRule type="expression" dxfId="102" priority="49">
      <formula>$A$73="Nepotpun JIB+! Obavezna polja: JIB, tip izvještaja, izvještajna godina i datum sastavljanja."</formula>
    </cfRule>
  </conditionalFormatting>
  <conditionalFormatting sqref="D7">
    <cfRule type="expression" dxfId="101" priority="47">
      <formula>LEN(TRIM(D7))=0</formula>
    </cfRule>
  </conditionalFormatting>
  <conditionalFormatting sqref="B27">
    <cfRule type="expression" dxfId="100" priority="45">
      <formula>LEN(TRIM(B27))=0</formula>
    </cfRule>
  </conditionalFormatting>
  <conditionalFormatting sqref="A27">
    <cfRule type="expression" dxfId="99" priority="44">
      <formula>LEN(TRIM(A27))=0</formula>
    </cfRule>
  </conditionalFormatting>
  <conditionalFormatting sqref="E27">
    <cfRule type="expression" dxfId="98" priority="41">
      <formula>LEN(TRIM(E27))=0</formula>
    </cfRule>
  </conditionalFormatting>
  <conditionalFormatting sqref="B19">
    <cfRule type="containsText" dxfId="97" priority="39" operator="containsText" text="Neispravna">
      <formula>NOT(ISERROR(SEARCH("Neispravna",B19)))</formula>
    </cfRule>
  </conditionalFormatting>
  <conditionalFormatting sqref="A55:B55">
    <cfRule type="expression" dxfId="96" priority="36">
      <formula>LEN(TRIM(A55))&gt;0</formula>
    </cfRule>
  </conditionalFormatting>
  <conditionalFormatting sqref="A58">
    <cfRule type="expression" dxfId="95" priority="34">
      <formula>LEN(TRIM(A58))=0</formula>
    </cfRule>
  </conditionalFormatting>
  <conditionalFormatting sqref="D58">
    <cfRule type="expression" dxfId="94" priority="33">
      <formula>LEN(TRIM(D58))=0</formula>
    </cfRule>
  </conditionalFormatting>
  <conditionalFormatting sqref="A16">
    <cfRule type="expression" dxfId="93" priority="31">
      <formula>LEN(TRIM(A16))&gt;0</formula>
    </cfRule>
  </conditionalFormatting>
  <conditionalFormatting sqref="D16">
    <cfRule type="expression" dxfId="92" priority="30">
      <formula>LEN(TRIM(D16))=0</formula>
    </cfRule>
  </conditionalFormatting>
  <conditionalFormatting sqref="B58">
    <cfRule type="expression" dxfId="91" priority="29">
      <formula>LEN(TRIM(B58))=0</formula>
    </cfRule>
  </conditionalFormatting>
  <conditionalFormatting sqref="B41">
    <cfRule type="expression" dxfId="90" priority="28">
      <formula>LEN(TRIM(B41))&gt;0</formula>
    </cfRule>
  </conditionalFormatting>
  <conditionalFormatting sqref="B42:B45">
    <cfRule type="expression" dxfId="89" priority="27">
      <formula>LEN(TRIM(B42))&gt;0</formula>
    </cfRule>
  </conditionalFormatting>
  <conditionalFormatting sqref="B46">
    <cfRule type="expression" dxfId="88" priority="26">
      <formula>LEN(TRIM(B46))=0</formula>
    </cfRule>
  </conditionalFormatting>
  <conditionalFormatting sqref="F48">
    <cfRule type="expression" dxfId="87" priority="23">
      <formula>LEN(TRIM(F48))=0</formula>
    </cfRule>
  </conditionalFormatting>
  <conditionalFormatting sqref="F48">
    <cfRule type="cellIs" dxfId="86" priority="22" operator="notEqual">
      <formula>1</formula>
    </cfRule>
  </conditionalFormatting>
  <conditionalFormatting sqref="A70 C70">
    <cfRule type="expression" dxfId="85" priority="20">
      <formula>$A$70&lt;&gt;""</formula>
    </cfRule>
  </conditionalFormatting>
  <conditionalFormatting sqref="B70">
    <cfRule type="expression" dxfId="84" priority="16">
      <formula>$B$70&lt;&gt;""</formula>
    </cfRule>
  </conditionalFormatting>
  <conditionalFormatting sqref="B70">
    <cfRule type="expression" dxfId="83" priority="14">
      <formula>LEN($B$70)=8</formula>
    </cfRule>
    <cfRule type="expression" dxfId="82" priority="15">
      <formula>LEN($B$70)=9</formula>
    </cfRule>
  </conditionalFormatting>
  <conditionalFormatting sqref="B71:B72">
    <cfRule type="duplicateValues" dxfId="81" priority="219"/>
  </conditionalFormatting>
  <conditionalFormatting sqref="A34">
    <cfRule type="expression" dxfId="80" priority="7">
      <formula>$A$34=""</formula>
    </cfRule>
    <cfRule type="expression" dxfId="79" priority="8">
      <formula>$A$29=""</formula>
    </cfRule>
  </conditionalFormatting>
  <conditionalFormatting sqref="A70">
    <cfRule type="expression" dxfId="78" priority="5">
      <formula>$A$70=""</formula>
    </cfRule>
  </conditionalFormatting>
  <conditionalFormatting sqref="B34">
    <cfRule type="expression" dxfId="77" priority="1">
      <formula>$B$34=""</formula>
    </cfRule>
    <cfRule type="expression" dxfId="76" priority="4">
      <formula>$B$34&lt;&gt;""</formula>
    </cfRule>
  </conditionalFormatting>
  <conditionalFormatting sqref="B34">
    <cfRule type="expression" dxfId="75" priority="2">
      <formula>LEN($B$34)=8</formula>
    </cfRule>
    <cfRule type="expression" dxfId="74" priority="3">
      <formula>LEN($B$34)=9</formula>
    </cfRule>
  </conditionalFormatting>
  <dataValidations xWindow="639" yWindow="478" count="21">
    <dataValidation allowBlank="1" showInputMessage="1" showErrorMessage="1" promptTitle=" " sqref="A13" xr:uid="{00000000-0002-0000-0300-000000000000}">
      <formula1>0</formula1>
      <formula2>0</formula2>
    </dataValidation>
    <dataValidation type="list" allowBlank="1" showInputMessage="1" showErrorMessage="1" errorTitle="Greška" error="Odaberite standard s popisa" promptTitle=" " prompt="Odabrati s liste" sqref="A62" xr:uid="{00000000-0002-0000-0300-000001000000}">
      <formula1>"MSFI za MSP (mala i srednja pravna lica),MRS/MSFI (velika pravna lica)"</formula1>
      <formula2>0</formula2>
    </dataValidation>
    <dataValidation type="textLength" operator="equal" allowBlank="1" showInputMessage="1" showErrorMessage="1" errorTitle=" " error="12 cifara." promptTitle=" " prompt="12 cifara" sqref="B16" xr:uid="{00000000-0002-0000-0300-000002000000}">
      <formula1>12</formula1>
    </dataValidation>
    <dataValidation allowBlank="1" sqref="F66 I75:XFD75 I73:XFD73 D69:XFD70 A63:XFD65 G66:XFD67 G61:XFD62 C61:E62 C57 B29:XFD29 D25:XFD25 G27:XFD27 F26:XFD26 C26:D26 G23:XFD23 B19 G6:XFD13 E15:XFD16 C15:C16 C6:C7 G4:XFD4 C3:XFD3 G1:XFD1 H1:H28 C9:D10 E6 A53:A54 B54:C54 G30:XFD31 E30:F30 F7 G18:XFD21 A20:A21 F33:G37 D33:D40 A56:C56 A11:D11 A8:D8 A2:XFD2 A5:XFD5 A14:XFD14 A17:XFD17 B22:XFD22 A24:XFD24 A28:XFD28 A32:XFD32 A59:XFD60 A68:XFD68 A71:XFD72 A74:XFD74 A76:XFD1048576 E33:E56 D47:D57 H33:XFD58 G49:G57 F49:F56" xr:uid="{00000000-0002-0000-0300-000003000000}"/>
    <dataValidation allowBlank="1" error="Odabrati s liste" promptTitle=" " prompt="Odabrati s liste" sqref="B23" xr:uid="{00000000-0002-0000-0300-000004000000}"/>
    <dataValidation allowBlank="1" errorTitle=" " error="Odabrati s liste" promptTitle=" " prompt="Odabrati s liste" sqref="B66:E66 B61" xr:uid="{00000000-0002-0000-0300-000005000000}"/>
    <dataValidation type="textLength" operator="equal" allowBlank="1" showInputMessage="1" showErrorMessage="1" errorTitle="Greška" error="JIB mora sadržavati tačno 13 cifara" promptTitle=" " prompt="13 cifara" sqref="A4 A27 B46" xr:uid="{00000000-0002-0000-0300-000006000000}">
      <formula1>13</formula1>
    </dataValidation>
    <dataValidation type="list" operator="equal" allowBlank="1" showInputMessage="1" showErrorMessage="1" errorTitle="Greška" error="Odabrati sa liste" promptTitle=" " prompt="Odabrati s liste" sqref="D16 A16" xr:uid="{00000000-0002-0000-0300-000007000000}">
      <formula1>"DA,NE"</formula1>
    </dataValidation>
    <dataValidation type="textLength" operator="equal" allowBlank="1" showInputMessage="1" showErrorMessage="1" error="npr. 27.10" promptTitle=" " prompt="npr. 27.11" sqref="A19" xr:uid="{00000000-0002-0000-0300-000008000000}">
      <formula1>5</formula1>
    </dataValidation>
    <dataValidation type="textLength" operator="equal" allowBlank="1" showInputMessage="1" showErrorMessage="1" errorTitle="Greška" error="16 cifara" promptTitle=" " prompt="16 cifara" sqref="A23" xr:uid="{00000000-0002-0000-0300-000009000000}">
      <formula1>16</formula1>
    </dataValidation>
    <dataValidation allowBlank="1" showInputMessage="1" showErrorMessage="1" errorTitle=" " error="Upisati zvanični puni naziv pravnog lica (firmu)" promptTitle=" " prompt="Upisati zvanični puni naziv pravnog lica (firmu)" sqref="B4:F4 B27" xr:uid="{00000000-0002-0000-0300-00000A000000}"/>
    <dataValidation type="textLength" allowBlank="1" showInputMessage="1" showErrorMessage="1" errorTitle="Greška u unosu broja" error="Unijeti samo cifre broja telefona, npr. 033652310, 0603695214. Broj mora imati 9 ili 10 cifara." promptTitle=" " prompt="Unijeti samo cifre broja telefona, npr. 033652310, 0603695214. Broj mora imati 9 ili 10 cifara." sqref="A49:A52 B70" xr:uid="{00000000-0002-0000-0300-00000B000000}">
      <formula1>8</formula1>
      <formula2>9</formula2>
    </dataValidation>
    <dataValidation type="custom" allowBlank="1" showInputMessage="1" showErrorMessage="1" errorTitle="Neispravna e-mail adresa" error="E-mail adresa mora sadržavati &quot;@&quot; i barem jednu tačku." promptTitle="Unijeti ispravnu e-mail adresu" prompt="E-mail adresa mora sadržavati &quot;@&quot; i barem jednu tačku." sqref="A70 C70 A34" xr:uid="{00000000-0002-0000-0300-00000C000000}">
      <formula1>ISNUMBER(MATCH("*@*.?*",A34,0))</formula1>
    </dataValidation>
    <dataValidation type="custom" operator="equal" allowBlank="1" showInputMessage="1" showErrorMessage="1" errorTitle="Neispravna e-mail adresa" error="E-mail adresa mora sadržavati &quot;@&quot; i barem jednu tačku." promptTitle="Unijeti ispravnu e-mail adresu" prompt="E-mail adresa mora sadržavati &quot;@&quot; i barem jednu tačku." sqref="B49:B52 C47:C52 C35:C40" xr:uid="{00000000-0002-0000-0300-00000D000000}">
      <formula1>ISNUMBER(MATCH("*@*.?*",B35,0))</formula1>
    </dataValidation>
    <dataValidation allowBlank="1" showInputMessage="1" showErrorMessage="1" promptTitle=" " prompt="Subjekti od javnog interesa pripremaju izvještaj po standardu MRS/MSFI (velika pravna lica)." sqref="D15" xr:uid="{00000000-0002-0000-0300-00000E000000}"/>
    <dataValidation operator="greaterThan" allowBlank="1" showInputMessage="1" promptTitle=" " prompt="Samo za potrebe Izjave o neaktivnosti" sqref="A7" xr:uid="{00000000-0002-0000-0300-00000F000000}"/>
    <dataValidation type="list" allowBlank="1" showInputMessage="1" showErrorMessage="1" sqref="F31" xr:uid="{00000000-0002-0000-0300-000010000000}">
      <formula1>"Muški,Ženski"</formula1>
    </dataValidation>
    <dataValidation allowBlank="1" showInputMessage="1" showErrorMessage="1" promptTitle=" " prompt="Ukupna vrijednost vlasništva mora iznositi 100%" sqref="F48" xr:uid="{00000000-0002-0000-0300-000011000000}"/>
    <dataValidation allowBlank="1" showInputMessage="1" showErrorMessage="1" promptTitle=" " prompt="npr. 12,54%" sqref="F39:F47" xr:uid="{00000000-0002-0000-0300-000012000000}"/>
    <dataValidation type="textLength" allowBlank="1" showInputMessage="1" showErrorMessage="1" errorTitle="Greška u unosu broja" error="Unijeti samo cifre broja telefona, npr. 033652310, 0603695214. Broj mora imati 9 ili 10 cifara." prompt="Unijeti samo cifre broja telefona, npr. 033652310, 0603695214. Broj mora imati 9 ili 10 cifara." sqref="B34" xr:uid="{00000000-0002-0000-0300-000013000000}">
      <formula1>8</formula1>
      <formula2>9</formula2>
    </dataValidation>
    <dataValidation operator="greaterThan" allowBlank="1" showInputMessage="1" showErrorMessage="1" error="Unijeti datum u formatu prikazanom na Vašem računaru (bez tačke poslije godine!)" prompt="Unijeti datum u formatu prikazanom na Vašem računaru (bez tačke poslije godine!)" sqref="D58:E58 B58:C58" xr:uid="{00000000-0002-0000-0300-000014000000}"/>
  </dataValidations>
  <pageMargins left="0.96953124999999996" right="0.34090909090909088" top="0.55208333333333337" bottom="0.23622047244094491" header="0.51181102362204722" footer="0.51181102362204722"/>
  <pageSetup paperSize="9" scale="34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39" yWindow="478" count="7">
        <x14:dataValidation type="list" allowBlank="1" showInputMessage="1" showErrorMessage="1" errorTitle=" " error="Odabrati s liste" promptTitle=" " prompt="Odabrati s liste" xr:uid="{00000000-0002-0000-0300-000015000000}">
          <x14:formula1>
            <xm:f>'#Konverter'!$T$2:$T$3</xm:f>
          </x14:formula1>
          <xm:sqref>B7</xm:sqref>
        </x14:dataValidation>
        <x14:dataValidation type="list" allowBlank="1" showInputMessage="1" showErrorMessage="1" error="Odabrati s liste" promptTitle=" " prompt="Odabrati s liste" xr:uid="{00000000-0002-0000-0300-000016000000}">
          <x14:formula1>
            <xm:f>'#Konverter'!$A$2:$A$80</xm:f>
          </x14:formula1>
          <xm:sqref>A10</xm:sqref>
        </x14:dataValidation>
        <x14:dataValidation type="list" allowBlank="1" showInputMessage="1" showErrorMessage="1" xr:uid="{00000000-0002-0000-0300-000017000000}">
          <x14:formula1>
            <xm:f>'#Konverter'!$X$2:$X$20</xm:f>
          </x14:formula1>
          <xm:sqref>A55</xm:sqref>
        </x14:dataValidation>
        <x14:dataValidation type="list" allowBlank="1" showInputMessage="1" showErrorMessage="1" xr:uid="{00000000-0002-0000-0300-000018000000}">
          <x14:formula1>
            <xm:f>'#Konverter'!$Y$2:$Y$3</xm:f>
          </x14:formula1>
          <xm:sqref>B55:C55</xm:sqref>
        </x14:dataValidation>
        <x14:dataValidation type="list" allowBlank="1" showInputMessage="1" showErrorMessage="1" error="Odabrati sa liste" prompt="Odabrati sa liste" xr:uid="{00000000-0002-0000-0300-000019000000}">
          <x14:formula1>
            <xm:f>'#Konverter'!$AM$2:$AM$11</xm:f>
          </x14:formula1>
          <xm:sqref>B41</xm:sqref>
        </x14:dataValidation>
        <x14:dataValidation type="list" allowBlank="1" showInputMessage="1" showErrorMessage="1" error="Odabrati sa liste" prompt="Odabrati sa liste" xr:uid="{00000000-0002-0000-0300-00001A000000}">
          <x14:formula1>
            <xm:f>'#Konverter'!$AK$2:$AK$80</xm:f>
          </x14:formula1>
          <xm:sqref>B43:B45</xm:sqref>
        </x14:dataValidation>
        <x14:dataValidation type="list" allowBlank="1" showInputMessage="1" showErrorMessage="1" error="Odabrati sa liste" prompt="Odabrati sa liste" xr:uid="{00000000-0002-0000-0300-00001B000000}">
          <x14:formula1>
            <xm:f>'#Konverter'!$AI$2:$AI$22</xm:f>
          </x14:formula1>
          <xm:sqref>B42:D42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-0.499984740745262"/>
  </sheetPr>
  <dimension ref="A1:AII119"/>
  <sheetViews>
    <sheetView showGridLines="0" tabSelected="1" view="pageLayout" topLeftCell="E41" zoomScaleNormal="100" workbookViewId="0">
      <selection activeCell="J70" sqref="J70"/>
    </sheetView>
  </sheetViews>
  <sheetFormatPr defaultColWidth="7.5703125" defaultRowHeight="14.25"/>
  <cols>
    <col min="1" max="1" width="7.28515625" style="188" hidden="1" customWidth="1"/>
    <col min="2" max="2" width="7.7109375" style="188" hidden="1" customWidth="1"/>
    <col min="3" max="3" width="7.28515625" style="188" hidden="1" customWidth="1"/>
    <col min="4" max="4" width="9.5703125" style="188" hidden="1" customWidth="1"/>
    <col min="5" max="5" width="12.7109375" style="206" customWidth="1"/>
    <col min="6" max="6" width="62.85546875" style="199" customWidth="1"/>
    <col min="7" max="7" width="8.85546875" style="199" customWidth="1"/>
    <col min="8" max="8" width="8" style="199" customWidth="1"/>
    <col min="9" max="9" width="19.85546875" style="193" customWidth="1"/>
    <col min="10" max="10" width="23" style="189" customWidth="1"/>
    <col min="11" max="919" width="7.5703125" style="189" customWidth="1"/>
    <col min="920" max="920" width="7.5703125" style="190" customWidth="1"/>
    <col min="921" max="16384" width="7.5703125" style="190"/>
  </cols>
  <sheetData>
    <row r="1" spans="1:919" s="179" customFormat="1" ht="15.75" customHeight="1">
      <c r="A1" s="177"/>
      <c r="B1" s="177"/>
      <c r="C1" s="177"/>
      <c r="D1" s="177"/>
      <c r="E1" s="366" t="str">
        <f>IF(OsnPodaci!B4="","",OsnPodaci!B4)</f>
        <v>ZIF " prevent INVEST " d.d.</v>
      </c>
      <c r="F1" s="367"/>
      <c r="G1" s="367"/>
      <c r="H1" s="367"/>
      <c r="I1" s="368"/>
      <c r="J1" s="373" t="str">
        <f>IF(OsnPodaci!A4="","",OsnPodaci!A4)</f>
        <v>4200191740002</v>
      </c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</row>
    <row r="2" spans="1:919" s="183" customFormat="1" ht="15.75" customHeight="1">
      <c r="A2" s="180"/>
      <c r="B2" s="180"/>
      <c r="C2" s="180"/>
      <c r="D2" s="180"/>
      <c r="E2" s="387" t="s">
        <v>2077</v>
      </c>
      <c r="F2" s="370"/>
      <c r="G2" s="370"/>
      <c r="H2" s="371"/>
      <c r="I2" s="372"/>
      <c r="J2" s="388" t="s">
        <v>2078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</row>
    <row r="3" spans="1:919" s="179" customFormat="1" ht="15.75" customHeight="1">
      <c r="A3" s="177"/>
      <c r="B3" s="177"/>
      <c r="C3" s="177"/>
      <c r="D3" s="177"/>
      <c r="E3" s="366" t="str">
        <f>IF(OR(OsnPodaci!A10="",OsnPodaci!A13=""),"",OsnPodaci!A10 &amp; ", " &amp; OsnPodaci!A13)</f>
        <v>Sarajevo-Novi Grad, Bulevar Meše Selimovića 16</v>
      </c>
      <c r="F3" s="367"/>
      <c r="H3" s="378"/>
      <c r="I3" s="378"/>
      <c r="J3" s="373" t="str">
        <f>IF(OsnPodaci!A19="","",OsnPodaci!A19)</f>
        <v>64.30</v>
      </c>
      <c r="K3" s="178"/>
      <c r="L3" s="178"/>
      <c r="M3" s="178"/>
      <c r="N3" s="178"/>
      <c r="O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8"/>
      <c r="JR3" s="178"/>
      <c r="JS3" s="178"/>
      <c r="JT3" s="178"/>
      <c r="JU3" s="178"/>
      <c r="JV3" s="178"/>
      <c r="JW3" s="178"/>
      <c r="JX3" s="178"/>
      <c r="JY3" s="178"/>
      <c r="JZ3" s="178"/>
      <c r="KA3" s="178"/>
      <c r="KB3" s="178"/>
      <c r="KC3" s="178"/>
      <c r="KD3" s="178"/>
      <c r="KE3" s="178"/>
      <c r="KF3" s="178"/>
      <c r="KG3" s="178"/>
      <c r="KH3" s="178"/>
      <c r="KI3" s="178"/>
      <c r="KJ3" s="178"/>
      <c r="KK3" s="178"/>
      <c r="KL3" s="178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178"/>
      <c r="KX3" s="178"/>
      <c r="KY3" s="178"/>
      <c r="KZ3" s="178"/>
      <c r="LA3" s="178"/>
      <c r="LB3" s="178"/>
      <c r="LC3" s="178"/>
      <c r="LD3" s="178"/>
      <c r="LE3" s="178"/>
      <c r="LF3" s="178"/>
      <c r="LG3" s="178"/>
      <c r="LH3" s="178"/>
      <c r="LI3" s="178"/>
      <c r="LJ3" s="178"/>
      <c r="LK3" s="178"/>
      <c r="LL3" s="178"/>
      <c r="LM3" s="178"/>
      <c r="LN3" s="178"/>
      <c r="LO3" s="178"/>
      <c r="LP3" s="178"/>
      <c r="LQ3" s="178"/>
      <c r="LR3" s="178"/>
      <c r="LS3" s="178"/>
      <c r="LT3" s="178"/>
      <c r="LU3" s="178"/>
      <c r="LV3" s="178"/>
      <c r="LW3" s="178"/>
      <c r="LX3" s="178"/>
      <c r="LY3" s="178"/>
      <c r="LZ3" s="178"/>
      <c r="MA3" s="178"/>
      <c r="MB3" s="178"/>
      <c r="MC3" s="178"/>
      <c r="MD3" s="178"/>
      <c r="ME3" s="178"/>
      <c r="MF3" s="178"/>
      <c r="MG3" s="178"/>
      <c r="MH3" s="178"/>
      <c r="MI3" s="178"/>
      <c r="MJ3" s="178"/>
      <c r="MK3" s="178"/>
      <c r="ML3" s="178"/>
      <c r="MM3" s="178"/>
      <c r="MN3" s="178"/>
      <c r="MO3" s="178"/>
      <c r="MP3" s="178"/>
      <c r="MQ3" s="178"/>
      <c r="MR3" s="178"/>
      <c r="MS3" s="178"/>
      <c r="MT3" s="178"/>
      <c r="MU3" s="178"/>
      <c r="MV3" s="178"/>
      <c r="MW3" s="178"/>
      <c r="MX3" s="178"/>
      <c r="MY3" s="178"/>
      <c r="MZ3" s="178"/>
      <c r="NA3" s="178"/>
      <c r="NB3" s="178"/>
      <c r="NC3" s="178"/>
      <c r="ND3" s="178"/>
      <c r="NE3" s="178"/>
      <c r="NF3" s="178"/>
      <c r="NG3" s="178"/>
      <c r="NH3" s="178"/>
      <c r="NI3" s="178"/>
      <c r="NJ3" s="178"/>
      <c r="NK3" s="178"/>
      <c r="NL3" s="178"/>
      <c r="NM3" s="178"/>
      <c r="NN3" s="178"/>
      <c r="NO3" s="178"/>
      <c r="NP3" s="178"/>
      <c r="NQ3" s="178"/>
      <c r="NR3" s="178"/>
      <c r="NS3" s="178"/>
      <c r="NT3" s="178"/>
      <c r="NU3" s="178"/>
      <c r="NV3" s="178"/>
      <c r="NW3" s="178"/>
      <c r="NX3" s="178"/>
      <c r="NY3" s="178"/>
      <c r="NZ3" s="178"/>
      <c r="OA3" s="178"/>
      <c r="OB3" s="178"/>
      <c r="OC3" s="178"/>
      <c r="OD3" s="178"/>
      <c r="OE3" s="178"/>
      <c r="OF3" s="178"/>
      <c r="OG3" s="178"/>
      <c r="OH3" s="178"/>
      <c r="OI3" s="178"/>
      <c r="OJ3" s="178"/>
      <c r="OK3" s="178"/>
      <c r="OL3" s="178"/>
      <c r="OM3" s="178"/>
      <c r="ON3" s="178"/>
      <c r="OO3" s="178"/>
      <c r="OP3" s="178"/>
      <c r="OQ3" s="178"/>
      <c r="OR3" s="178"/>
      <c r="OS3" s="178"/>
      <c r="OT3" s="178"/>
      <c r="OU3" s="178"/>
      <c r="OV3" s="178"/>
      <c r="OW3" s="178"/>
      <c r="OX3" s="178"/>
      <c r="OY3" s="178"/>
      <c r="OZ3" s="178"/>
      <c r="PA3" s="178"/>
      <c r="PB3" s="178"/>
      <c r="PC3" s="178"/>
      <c r="PD3" s="178"/>
      <c r="PE3" s="178"/>
      <c r="PF3" s="178"/>
      <c r="PG3" s="178"/>
      <c r="PH3" s="178"/>
      <c r="PI3" s="178"/>
      <c r="PJ3" s="178"/>
      <c r="PK3" s="178"/>
      <c r="PL3" s="178"/>
      <c r="PM3" s="178"/>
      <c r="PN3" s="178"/>
      <c r="PO3" s="178"/>
      <c r="PP3" s="178"/>
      <c r="PQ3" s="178"/>
      <c r="PR3" s="178"/>
      <c r="PS3" s="178"/>
      <c r="PT3" s="178"/>
      <c r="PU3" s="178"/>
      <c r="PV3" s="178"/>
      <c r="PW3" s="178"/>
      <c r="PX3" s="178"/>
      <c r="PY3" s="178"/>
      <c r="PZ3" s="178"/>
      <c r="QA3" s="178"/>
      <c r="QB3" s="178"/>
      <c r="QC3" s="178"/>
      <c r="QD3" s="178"/>
      <c r="QE3" s="178"/>
      <c r="QF3" s="178"/>
      <c r="QG3" s="178"/>
      <c r="QH3" s="178"/>
      <c r="QI3" s="178"/>
      <c r="QJ3" s="178"/>
      <c r="QK3" s="178"/>
      <c r="QL3" s="178"/>
      <c r="QM3" s="178"/>
      <c r="QN3" s="178"/>
      <c r="QO3" s="178"/>
      <c r="QP3" s="178"/>
      <c r="QQ3" s="178"/>
      <c r="QR3" s="178"/>
      <c r="QS3" s="178"/>
      <c r="QT3" s="178"/>
      <c r="QU3" s="178"/>
      <c r="QV3" s="178"/>
      <c r="QW3" s="178"/>
      <c r="QX3" s="178"/>
      <c r="QY3" s="178"/>
      <c r="QZ3" s="178"/>
      <c r="RA3" s="178"/>
      <c r="RB3" s="178"/>
      <c r="RC3" s="178"/>
      <c r="RD3" s="178"/>
      <c r="RE3" s="178"/>
      <c r="RF3" s="178"/>
      <c r="RG3" s="178"/>
      <c r="RH3" s="178"/>
      <c r="RI3" s="178"/>
      <c r="RJ3" s="178"/>
      <c r="RK3" s="178"/>
      <c r="RL3" s="178"/>
      <c r="RM3" s="178"/>
      <c r="RN3" s="178"/>
      <c r="RO3" s="178"/>
      <c r="RP3" s="178"/>
      <c r="RQ3" s="178"/>
      <c r="RR3" s="178"/>
      <c r="RS3" s="178"/>
      <c r="RT3" s="178"/>
      <c r="RU3" s="178"/>
      <c r="RV3" s="178"/>
      <c r="RW3" s="178"/>
      <c r="RX3" s="178"/>
      <c r="RY3" s="178"/>
      <c r="RZ3" s="178"/>
      <c r="SA3" s="178"/>
      <c r="SB3" s="178"/>
      <c r="SC3" s="178"/>
      <c r="SD3" s="178"/>
      <c r="SE3" s="178"/>
      <c r="SF3" s="178"/>
      <c r="SG3" s="178"/>
      <c r="SH3" s="178"/>
      <c r="SI3" s="178"/>
      <c r="SJ3" s="178"/>
      <c r="SK3" s="178"/>
      <c r="SL3" s="178"/>
      <c r="SM3" s="178"/>
      <c r="SN3" s="178"/>
      <c r="SO3" s="178"/>
      <c r="SP3" s="178"/>
      <c r="SQ3" s="178"/>
      <c r="SR3" s="178"/>
      <c r="SS3" s="178"/>
      <c r="ST3" s="178"/>
      <c r="SU3" s="178"/>
      <c r="SV3" s="178"/>
      <c r="SW3" s="178"/>
      <c r="SX3" s="178"/>
      <c r="SY3" s="178"/>
      <c r="SZ3" s="178"/>
      <c r="TA3" s="178"/>
      <c r="TB3" s="178"/>
      <c r="TC3" s="178"/>
      <c r="TD3" s="178"/>
      <c r="TE3" s="178"/>
      <c r="TF3" s="178"/>
      <c r="TG3" s="178"/>
      <c r="TH3" s="178"/>
      <c r="TI3" s="178"/>
      <c r="TJ3" s="178"/>
      <c r="TK3" s="178"/>
      <c r="TL3" s="178"/>
      <c r="TM3" s="178"/>
      <c r="TN3" s="178"/>
      <c r="TO3" s="178"/>
      <c r="TP3" s="178"/>
      <c r="TQ3" s="178"/>
      <c r="TR3" s="178"/>
      <c r="TS3" s="178"/>
      <c r="TT3" s="178"/>
      <c r="TU3" s="178"/>
      <c r="TV3" s="178"/>
      <c r="TW3" s="178"/>
      <c r="TX3" s="178"/>
      <c r="TY3" s="178"/>
      <c r="TZ3" s="178"/>
      <c r="UA3" s="178"/>
      <c r="UB3" s="178"/>
      <c r="UC3" s="178"/>
      <c r="UD3" s="178"/>
      <c r="UE3" s="178"/>
      <c r="UF3" s="178"/>
      <c r="UG3" s="178"/>
      <c r="UH3" s="178"/>
      <c r="UI3" s="178"/>
      <c r="UJ3" s="178"/>
      <c r="UK3" s="178"/>
      <c r="UL3" s="178"/>
      <c r="UM3" s="178"/>
      <c r="UN3" s="178"/>
      <c r="UO3" s="178"/>
      <c r="UP3" s="178"/>
      <c r="UQ3" s="178"/>
      <c r="UR3" s="178"/>
      <c r="US3" s="178"/>
      <c r="UT3" s="178"/>
      <c r="UU3" s="178"/>
      <c r="UV3" s="178"/>
      <c r="UW3" s="178"/>
      <c r="UX3" s="178"/>
      <c r="UY3" s="178"/>
      <c r="UZ3" s="178"/>
      <c r="VA3" s="178"/>
      <c r="VB3" s="178"/>
      <c r="VC3" s="178"/>
      <c r="VD3" s="178"/>
      <c r="VE3" s="178"/>
      <c r="VF3" s="178"/>
      <c r="VG3" s="178"/>
      <c r="VH3" s="178"/>
      <c r="VI3" s="178"/>
      <c r="VJ3" s="178"/>
      <c r="VK3" s="178"/>
      <c r="VL3" s="178"/>
      <c r="VM3" s="178"/>
      <c r="VN3" s="178"/>
      <c r="VO3" s="178"/>
      <c r="VP3" s="178"/>
      <c r="VQ3" s="178"/>
      <c r="VR3" s="178"/>
      <c r="VS3" s="178"/>
      <c r="VT3" s="178"/>
      <c r="VU3" s="178"/>
      <c r="VV3" s="178"/>
      <c r="VW3" s="178"/>
      <c r="VX3" s="178"/>
      <c r="VY3" s="178"/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8"/>
      <c r="WL3" s="178"/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8"/>
      <c r="XL3" s="178"/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8"/>
      <c r="YL3" s="178"/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8"/>
      <c r="ZL3" s="178"/>
      <c r="ZM3" s="178"/>
      <c r="ZN3" s="178"/>
      <c r="ZO3" s="178"/>
      <c r="ZP3" s="178"/>
      <c r="ZQ3" s="178"/>
      <c r="ZR3" s="178"/>
      <c r="ZS3" s="178"/>
      <c r="ZT3" s="178"/>
      <c r="ZU3" s="178"/>
      <c r="ZV3" s="178"/>
      <c r="ZW3" s="178"/>
      <c r="ZX3" s="178"/>
      <c r="ZY3" s="178"/>
      <c r="ZZ3" s="178"/>
      <c r="AAA3" s="178"/>
      <c r="AAB3" s="178"/>
      <c r="AAC3" s="178"/>
      <c r="AAD3" s="178"/>
      <c r="AAE3" s="178"/>
      <c r="AAF3" s="178"/>
      <c r="AAG3" s="178"/>
      <c r="AAH3" s="178"/>
      <c r="AAI3" s="178"/>
      <c r="AAJ3" s="178"/>
      <c r="AAK3" s="178"/>
      <c r="AAL3" s="178"/>
      <c r="AAM3" s="178"/>
      <c r="AAN3" s="178"/>
      <c r="AAO3" s="178"/>
      <c r="AAP3" s="178"/>
      <c r="AAQ3" s="178"/>
      <c r="AAR3" s="178"/>
      <c r="AAS3" s="178"/>
      <c r="AAT3" s="178"/>
      <c r="AAU3" s="178"/>
      <c r="AAV3" s="178"/>
      <c r="AAW3" s="178"/>
      <c r="AAX3" s="178"/>
      <c r="AAY3" s="178"/>
      <c r="AAZ3" s="178"/>
      <c r="ABA3" s="178"/>
      <c r="ABB3" s="178"/>
      <c r="ABC3" s="178"/>
      <c r="ABD3" s="178"/>
      <c r="ABE3" s="178"/>
      <c r="ABF3" s="178"/>
      <c r="ABG3" s="178"/>
      <c r="ABH3" s="178"/>
      <c r="ABI3" s="178"/>
      <c r="ABJ3" s="178"/>
      <c r="ABK3" s="178"/>
      <c r="ABL3" s="178"/>
      <c r="ABM3" s="178"/>
      <c r="ABN3" s="178"/>
      <c r="ABO3" s="178"/>
      <c r="ABP3" s="178"/>
      <c r="ABQ3" s="178"/>
      <c r="ABR3" s="178"/>
      <c r="ABS3" s="178"/>
      <c r="ABT3" s="178"/>
      <c r="ABU3" s="178"/>
      <c r="ABV3" s="178"/>
      <c r="ABW3" s="178"/>
      <c r="ABX3" s="178"/>
      <c r="ABY3" s="178"/>
      <c r="ABZ3" s="178"/>
      <c r="ACA3" s="178"/>
      <c r="ACB3" s="178"/>
      <c r="ACC3" s="178"/>
      <c r="ACD3" s="178"/>
      <c r="ACE3" s="178"/>
      <c r="ACF3" s="178"/>
      <c r="ACG3" s="178"/>
      <c r="ACH3" s="178"/>
      <c r="ACI3" s="178"/>
      <c r="ACJ3" s="178"/>
      <c r="ACK3" s="178"/>
      <c r="ACL3" s="178"/>
      <c r="ACM3" s="178"/>
      <c r="ACN3" s="178"/>
      <c r="ACO3" s="178"/>
      <c r="ACP3" s="178"/>
      <c r="ACQ3" s="178"/>
      <c r="ACR3" s="178"/>
      <c r="ACS3" s="178"/>
      <c r="ACT3" s="178"/>
      <c r="ACU3" s="178"/>
      <c r="ACV3" s="178"/>
      <c r="ACW3" s="178"/>
      <c r="ACX3" s="178"/>
      <c r="ACY3" s="178"/>
      <c r="ACZ3" s="178"/>
      <c r="ADA3" s="178"/>
      <c r="ADB3" s="178"/>
      <c r="ADC3" s="178"/>
      <c r="ADD3" s="178"/>
      <c r="ADE3" s="178"/>
      <c r="ADF3" s="178"/>
      <c r="ADG3" s="178"/>
      <c r="ADH3" s="178"/>
      <c r="ADI3" s="178"/>
      <c r="ADJ3" s="178"/>
      <c r="ADK3" s="178"/>
      <c r="ADL3" s="178"/>
      <c r="ADM3" s="178"/>
      <c r="ADN3" s="178"/>
      <c r="ADO3" s="178"/>
      <c r="ADP3" s="178"/>
      <c r="ADQ3" s="178"/>
      <c r="ADR3" s="178"/>
      <c r="ADS3" s="178"/>
      <c r="ADT3" s="178"/>
      <c r="ADU3" s="178"/>
      <c r="ADV3" s="178"/>
      <c r="ADW3" s="178"/>
      <c r="ADX3" s="178"/>
      <c r="ADY3" s="178"/>
      <c r="ADZ3" s="178"/>
      <c r="AEA3" s="178"/>
      <c r="AEB3" s="178"/>
      <c r="AEC3" s="178"/>
      <c r="AED3" s="178"/>
      <c r="AEE3" s="178"/>
      <c r="AEF3" s="178"/>
      <c r="AEG3" s="178"/>
      <c r="AEH3" s="178"/>
      <c r="AEI3" s="178"/>
      <c r="AEJ3" s="178"/>
      <c r="AEK3" s="178"/>
      <c r="AEL3" s="178"/>
      <c r="AEM3" s="178"/>
      <c r="AEN3" s="178"/>
      <c r="AEO3" s="178"/>
      <c r="AEP3" s="178"/>
      <c r="AEQ3" s="178"/>
      <c r="AER3" s="178"/>
      <c r="AES3" s="178"/>
      <c r="AET3" s="178"/>
      <c r="AEU3" s="178"/>
      <c r="AEV3" s="178"/>
      <c r="AEW3" s="178"/>
      <c r="AEX3" s="178"/>
      <c r="AEY3" s="178"/>
      <c r="AEZ3" s="178"/>
      <c r="AFA3" s="178"/>
      <c r="AFB3" s="178"/>
      <c r="AFC3" s="178"/>
      <c r="AFD3" s="178"/>
      <c r="AFE3" s="178"/>
      <c r="AFF3" s="178"/>
      <c r="AFG3" s="178"/>
      <c r="AFH3" s="178"/>
      <c r="AFI3" s="178"/>
      <c r="AFJ3" s="178"/>
      <c r="AFK3" s="178"/>
      <c r="AFL3" s="178"/>
      <c r="AFM3" s="178"/>
      <c r="AFN3" s="178"/>
      <c r="AFO3" s="178"/>
      <c r="AFP3" s="178"/>
      <c r="AFQ3" s="178"/>
      <c r="AFR3" s="178"/>
      <c r="AFS3" s="178"/>
      <c r="AFT3" s="178"/>
      <c r="AFU3" s="178"/>
      <c r="AFV3" s="178"/>
      <c r="AFW3" s="178"/>
      <c r="AFX3" s="178"/>
      <c r="AFY3" s="178"/>
      <c r="AFZ3" s="178"/>
      <c r="AGA3" s="178"/>
      <c r="AGB3" s="178"/>
      <c r="AGC3" s="178"/>
      <c r="AGD3" s="178"/>
      <c r="AGE3" s="178"/>
      <c r="AGF3" s="178"/>
      <c r="AGG3" s="178"/>
      <c r="AGH3" s="178"/>
      <c r="AGI3" s="178"/>
      <c r="AGJ3" s="178"/>
      <c r="AGK3" s="178"/>
      <c r="AGL3" s="178"/>
      <c r="AGM3" s="178"/>
      <c r="AGN3" s="178"/>
      <c r="AGO3" s="178"/>
      <c r="AGP3" s="178"/>
      <c r="AGQ3" s="178"/>
      <c r="AGR3" s="178"/>
      <c r="AGS3" s="178"/>
      <c r="AGT3" s="178"/>
      <c r="AGU3" s="178"/>
      <c r="AGV3" s="178"/>
      <c r="AGW3" s="178"/>
      <c r="AGX3" s="178"/>
      <c r="AGY3" s="178"/>
      <c r="AGZ3" s="178"/>
      <c r="AHA3" s="178"/>
      <c r="AHB3" s="178"/>
      <c r="AHC3" s="178"/>
      <c r="AHD3" s="178"/>
      <c r="AHE3" s="178"/>
      <c r="AHF3" s="178"/>
      <c r="AHG3" s="178"/>
      <c r="AHH3" s="178"/>
      <c r="AHI3" s="178"/>
      <c r="AHJ3" s="178"/>
      <c r="AHK3" s="178"/>
      <c r="AHL3" s="178"/>
      <c r="AHM3" s="178"/>
      <c r="AHN3" s="178"/>
      <c r="AHO3" s="178"/>
      <c r="AHP3" s="178"/>
      <c r="AHQ3" s="178"/>
      <c r="AHR3" s="178"/>
      <c r="AHS3" s="178"/>
      <c r="AHT3" s="178"/>
      <c r="AHU3" s="178"/>
      <c r="AHV3" s="178"/>
      <c r="AHW3" s="178"/>
      <c r="AHX3" s="178"/>
      <c r="AHY3" s="178"/>
      <c r="AHZ3" s="178"/>
      <c r="AIA3" s="178"/>
      <c r="AIB3" s="178"/>
      <c r="AIC3" s="178"/>
      <c r="AID3" s="178"/>
      <c r="AIE3" s="178"/>
      <c r="AIF3" s="178"/>
      <c r="AIG3" s="178"/>
      <c r="AIH3" s="178"/>
      <c r="AII3" s="178"/>
    </row>
    <row r="4" spans="1:919" s="183" customFormat="1" ht="15.75" customHeight="1">
      <c r="A4" s="180"/>
      <c r="B4" s="180"/>
      <c r="C4" s="180"/>
      <c r="D4" s="180"/>
      <c r="E4" s="387" t="s">
        <v>2079</v>
      </c>
      <c r="F4" s="370"/>
      <c r="H4" s="378"/>
      <c r="I4" s="378"/>
      <c r="J4" s="388" t="s">
        <v>1946</v>
      </c>
      <c r="K4" s="182"/>
      <c r="L4" s="182"/>
      <c r="M4" s="182"/>
      <c r="N4" s="182"/>
      <c r="O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  <c r="IW4" s="182"/>
      <c r="IX4" s="182"/>
      <c r="IY4" s="182"/>
      <c r="IZ4" s="182"/>
      <c r="JA4" s="182"/>
      <c r="JB4" s="182"/>
      <c r="JC4" s="182"/>
      <c r="JD4" s="182"/>
      <c r="JE4" s="182"/>
      <c r="JF4" s="182"/>
      <c r="JG4" s="182"/>
      <c r="JH4" s="182"/>
      <c r="JI4" s="182"/>
      <c r="JJ4" s="182"/>
      <c r="JK4" s="182"/>
      <c r="JL4" s="182"/>
      <c r="JM4" s="182"/>
      <c r="JN4" s="182"/>
      <c r="JO4" s="182"/>
      <c r="JP4" s="182"/>
      <c r="JQ4" s="182"/>
      <c r="JR4" s="182"/>
      <c r="JS4" s="182"/>
      <c r="JT4" s="182"/>
      <c r="JU4" s="182"/>
      <c r="JV4" s="182"/>
      <c r="JW4" s="182"/>
      <c r="JX4" s="182"/>
      <c r="JY4" s="182"/>
      <c r="JZ4" s="182"/>
      <c r="KA4" s="182"/>
      <c r="KB4" s="182"/>
      <c r="KC4" s="182"/>
      <c r="KD4" s="182"/>
      <c r="KE4" s="182"/>
      <c r="KF4" s="182"/>
      <c r="KG4" s="182"/>
      <c r="KH4" s="182"/>
      <c r="KI4" s="182"/>
      <c r="KJ4" s="182"/>
      <c r="KK4" s="182"/>
      <c r="KL4" s="182"/>
      <c r="KM4" s="182"/>
      <c r="KN4" s="182"/>
      <c r="KO4" s="182"/>
      <c r="KP4" s="182"/>
      <c r="KQ4" s="182"/>
      <c r="KR4" s="182"/>
      <c r="KS4" s="182"/>
      <c r="KT4" s="182"/>
      <c r="KU4" s="182"/>
      <c r="KV4" s="182"/>
      <c r="KW4" s="182"/>
      <c r="KX4" s="182"/>
      <c r="KY4" s="182"/>
      <c r="KZ4" s="182"/>
      <c r="LA4" s="182"/>
      <c r="LB4" s="182"/>
      <c r="LC4" s="182"/>
      <c r="LD4" s="182"/>
      <c r="LE4" s="182"/>
      <c r="LF4" s="182"/>
      <c r="LG4" s="182"/>
      <c r="LH4" s="182"/>
      <c r="LI4" s="182"/>
      <c r="LJ4" s="182"/>
      <c r="LK4" s="182"/>
      <c r="LL4" s="182"/>
      <c r="LM4" s="182"/>
      <c r="LN4" s="182"/>
      <c r="LO4" s="182"/>
      <c r="LP4" s="182"/>
      <c r="LQ4" s="182"/>
      <c r="LR4" s="182"/>
      <c r="LS4" s="182"/>
      <c r="LT4" s="182"/>
      <c r="LU4" s="182"/>
      <c r="LV4" s="182"/>
      <c r="LW4" s="182"/>
      <c r="LX4" s="182"/>
      <c r="LY4" s="182"/>
      <c r="LZ4" s="182"/>
      <c r="MA4" s="182"/>
      <c r="MB4" s="182"/>
      <c r="MC4" s="182"/>
      <c r="MD4" s="182"/>
      <c r="ME4" s="182"/>
      <c r="MF4" s="182"/>
      <c r="MG4" s="182"/>
      <c r="MH4" s="182"/>
      <c r="MI4" s="182"/>
      <c r="MJ4" s="182"/>
      <c r="MK4" s="182"/>
      <c r="ML4" s="182"/>
      <c r="MM4" s="182"/>
      <c r="MN4" s="182"/>
      <c r="MO4" s="182"/>
      <c r="MP4" s="182"/>
      <c r="MQ4" s="182"/>
      <c r="MR4" s="182"/>
      <c r="MS4" s="182"/>
      <c r="MT4" s="182"/>
      <c r="MU4" s="182"/>
      <c r="MV4" s="182"/>
      <c r="MW4" s="182"/>
      <c r="MX4" s="182"/>
      <c r="MY4" s="182"/>
      <c r="MZ4" s="182"/>
      <c r="NA4" s="182"/>
      <c r="NB4" s="182"/>
      <c r="NC4" s="182"/>
      <c r="ND4" s="182"/>
      <c r="NE4" s="182"/>
      <c r="NF4" s="182"/>
      <c r="NG4" s="182"/>
      <c r="NH4" s="182"/>
      <c r="NI4" s="182"/>
      <c r="NJ4" s="182"/>
      <c r="NK4" s="182"/>
      <c r="NL4" s="182"/>
      <c r="NM4" s="182"/>
      <c r="NN4" s="182"/>
      <c r="NO4" s="182"/>
      <c r="NP4" s="182"/>
      <c r="NQ4" s="182"/>
      <c r="NR4" s="182"/>
      <c r="NS4" s="182"/>
      <c r="NT4" s="182"/>
      <c r="NU4" s="182"/>
      <c r="NV4" s="182"/>
      <c r="NW4" s="182"/>
      <c r="NX4" s="182"/>
      <c r="NY4" s="182"/>
      <c r="NZ4" s="182"/>
      <c r="OA4" s="182"/>
      <c r="OB4" s="182"/>
      <c r="OC4" s="182"/>
      <c r="OD4" s="182"/>
      <c r="OE4" s="182"/>
      <c r="OF4" s="182"/>
      <c r="OG4" s="182"/>
      <c r="OH4" s="182"/>
      <c r="OI4" s="182"/>
      <c r="OJ4" s="182"/>
      <c r="OK4" s="182"/>
      <c r="OL4" s="182"/>
      <c r="OM4" s="182"/>
      <c r="ON4" s="182"/>
      <c r="OO4" s="182"/>
      <c r="OP4" s="182"/>
      <c r="OQ4" s="182"/>
      <c r="OR4" s="182"/>
      <c r="OS4" s="182"/>
      <c r="OT4" s="182"/>
      <c r="OU4" s="182"/>
      <c r="OV4" s="182"/>
      <c r="OW4" s="182"/>
      <c r="OX4" s="182"/>
      <c r="OY4" s="182"/>
      <c r="OZ4" s="182"/>
      <c r="PA4" s="182"/>
      <c r="PB4" s="182"/>
      <c r="PC4" s="182"/>
      <c r="PD4" s="182"/>
      <c r="PE4" s="182"/>
      <c r="PF4" s="182"/>
      <c r="PG4" s="182"/>
      <c r="PH4" s="182"/>
      <c r="PI4" s="182"/>
      <c r="PJ4" s="182"/>
      <c r="PK4" s="182"/>
      <c r="PL4" s="182"/>
      <c r="PM4" s="182"/>
      <c r="PN4" s="182"/>
      <c r="PO4" s="182"/>
      <c r="PP4" s="182"/>
      <c r="PQ4" s="182"/>
      <c r="PR4" s="182"/>
      <c r="PS4" s="182"/>
      <c r="PT4" s="182"/>
      <c r="PU4" s="182"/>
      <c r="PV4" s="182"/>
      <c r="PW4" s="182"/>
      <c r="PX4" s="182"/>
      <c r="PY4" s="182"/>
      <c r="PZ4" s="182"/>
      <c r="QA4" s="182"/>
      <c r="QB4" s="182"/>
      <c r="QC4" s="182"/>
      <c r="QD4" s="182"/>
      <c r="QE4" s="182"/>
      <c r="QF4" s="182"/>
      <c r="QG4" s="182"/>
      <c r="QH4" s="182"/>
      <c r="QI4" s="182"/>
      <c r="QJ4" s="182"/>
      <c r="QK4" s="182"/>
      <c r="QL4" s="182"/>
      <c r="QM4" s="182"/>
      <c r="QN4" s="182"/>
      <c r="QO4" s="182"/>
      <c r="QP4" s="182"/>
      <c r="QQ4" s="182"/>
      <c r="QR4" s="182"/>
      <c r="QS4" s="182"/>
      <c r="QT4" s="182"/>
      <c r="QU4" s="182"/>
      <c r="QV4" s="182"/>
      <c r="QW4" s="182"/>
      <c r="QX4" s="182"/>
      <c r="QY4" s="182"/>
      <c r="QZ4" s="182"/>
      <c r="RA4" s="182"/>
      <c r="RB4" s="182"/>
      <c r="RC4" s="182"/>
      <c r="RD4" s="182"/>
      <c r="RE4" s="182"/>
      <c r="RF4" s="182"/>
      <c r="RG4" s="182"/>
      <c r="RH4" s="182"/>
      <c r="RI4" s="182"/>
      <c r="RJ4" s="182"/>
      <c r="RK4" s="182"/>
      <c r="RL4" s="182"/>
      <c r="RM4" s="182"/>
      <c r="RN4" s="182"/>
      <c r="RO4" s="182"/>
      <c r="RP4" s="182"/>
      <c r="RQ4" s="182"/>
      <c r="RR4" s="182"/>
      <c r="RS4" s="182"/>
      <c r="RT4" s="182"/>
      <c r="RU4" s="182"/>
      <c r="RV4" s="182"/>
      <c r="RW4" s="182"/>
      <c r="RX4" s="182"/>
      <c r="RY4" s="182"/>
      <c r="RZ4" s="182"/>
      <c r="SA4" s="182"/>
      <c r="SB4" s="182"/>
      <c r="SC4" s="182"/>
      <c r="SD4" s="182"/>
      <c r="SE4" s="182"/>
      <c r="SF4" s="182"/>
      <c r="SG4" s="182"/>
      <c r="SH4" s="182"/>
      <c r="SI4" s="182"/>
      <c r="SJ4" s="182"/>
      <c r="SK4" s="182"/>
      <c r="SL4" s="182"/>
      <c r="SM4" s="182"/>
      <c r="SN4" s="182"/>
      <c r="SO4" s="182"/>
      <c r="SP4" s="182"/>
      <c r="SQ4" s="182"/>
      <c r="SR4" s="182"/>
      <c r="SS4" s="182"/>
      <c r="ST4" s="182"/>
      <c r="SU4" s="182"/>
      <c r="SV4" s="182"/>
      <c r="SW4" s="182"/>
      <c r="SX4" s="182"/>
      <c r="SY4" s="182"/>
      <c r="SZ4" s="182"/>
      <c r="TA4" s="182"/>
      <c r="TB4" s="182"/>
      <c r="TC4" s="182"/>
      <c r="TD4" s="182"/>
      <c r="TE4" s="182"/>
      <c r="TF4" s="182"/>
      <c r="TG4" s="182"/>
      <c r="TH4" s="182"/>
      <c r="TI4" s="182"/>
      <c r="TJ4" s="182"/>
      <c r="TK4" s="182"/>
      <c r="TL4" s="182"/>
      <c r="TM4" s="182"/>
      <c r="TN4" s="182"/>
      <c r="TO4" s="182"/>
      <c r="TP4" s="182"/>
      <c r="TQ4" s="182"/>
      <c r="TR4" s="182"/>
      <c r="TS4" s="182"/>
      <c r="TT4" s="182"/>
      <c r="TU4" s="182"/>
      <c r="TV4" s="182"/>
      <c r="TW4" s="182"/>
      <c r="TX4" s="182"/>
      <c r="TY4" s="182"/>
      <c r="TZ4" s="182"/>
      <c r="UA4" s="182"/>
      <c r="UB4" s="182"/>
      <c r="UC4" s="182"/>
      <c r="UD4" s="182"/>
      <c r="UE4" s="182"/>
      <c r="UF4" s="182"/>
      <c r="UG4" s="182"/>
      <c r="UH4" s="182"/>
      <c r="UI4" s="182"/>
      <c r="UJ4" s="182"/>
      <c r="UK4" s="182"/>
      <c r="UL4" s="182"/>
      <c r="UM4" s="182"/>
      <c r="UN4" s="182"/>
      <c r="UO4" s="182"/>
      <c r="UP4" s="182"/>
      <c r="UQ4" s="182"/>
      <c r="UR4" s="182"/>
      <c r="US4" s="182"/>
      <c r="UT4" s="182"/>
      <c r="UU4" s="182"/>
      <c r="UV4" s="182"/>
      <c r="UW4" s="182"/>
      <c r="UX4" s="182"/>
      <c r="UY4" s="182"/>
      <c r="UZ4" s="182"/>
      <c r="VA4" s="182"/>
      <c r="VB4" s="182"/>
      <c r="VC4" s="182"/>
      <c r="VD4" s="182"/>
      <c r="VE4" s="182"/>
      <c r="VF4" s="182"/>
      <c r="VG4" s="182"/>
      <c r="VH4" s="182"/>
      <c r="VI4" s="182"/>
      <c r="VJ4" s="182"/>
      <c r="VK4" s="182"/>
      <c r="VL4" s="182"/>
      <c r="VM4" s="182"/>
      <c r="VN4" s="182"/>
      <c r="VO4" s="182"/>
      <c r="VP4" s="182"/>
      <c r="VQ4" s="182"/>
      <c r="VR4" s="182"/>
      <c r="VS4" s="182"/>
      <c r="VT4" s="182"/>
      <c r="VU4" s="182"/>
      <c r="VV4" s="182"/>
      <c r="VW4" s="182"/>
      <c r="VX4" s="182"/>
      <c r="VY4" s="182"/>
      <c r="VZ4" s="182"/>
      <c r="WA4" s="182"/>
      <c r="WB4" s="182"/>
      <c r="WC4" s="182"/>
      <c r="WD4" s="182"/>
      <c r="WE4" s="182"/>
      <c r="WF4" s="182"/>
      <c r="WG4" s="182"/>
      <c r="WH4" s="182"/>
      <c r="WI4" s="182"/>
      <c r="WJ4" s="182"/>
      <c r="WK4" s="182"/>
      <c r="WL4" s="182"/>
      <c r="WM4" s="182"/>
      <c r="WN4" s="182"/>
      <c r="WO4" s="182"/>
      <c r="WP4" s="182"/>
      <c r="WQ4" s="182"/>
      <c r="WR4" s="182"/>
      <c r="WS4" s="182"/>
      <c r="WT4" s="182"/>
      <c r="WU4" s="182"/>
      <c r="WV4" s="182"/>
      <c r="WW4" s="182"/>
      <c r="WX4" s="182"/>
      <c r="WY4" s="182"/>
      <c r="WZ4" s="182"/>
      <c r="XA4" s="182"/>
      <c r="XB4" s="182"/>
      <c r="XC4" s="182"/>
      <c r="XD4" s="182"/>
      <c r="XE4" s="182"/>
      <c r="XF4" s="182"/>
      <c r="XG4" s="182"/>
      <c r="XH4" s="182"/>
      <c r="XI4" s="182"/>
      <c r="XJ4" s="182"/>
      <c r="XK4" s="182"/>
      <c r="XL4" s="182"/>
      <c r="XM4" s="182"/>
      <c r="XN4" s="182"/>
      <c r="XO4" s="182"/>
      <c r="XP4" s="182"/>
      <c r="XQ4" s="182"/>
      <c r="XR4" s="182"/>
      <c r="XS4" s="182"/>
      <c r="XT4" s="182"/>
      <c r="XU4" s="182"/>
      <c r="XV4" s="182"/>
      <c r="XW4" s="182"/>
      <c r="XX4" s="182"/>
      <c r="XY4" s="182"/>
      <c r="XZ4" s="182"/>
      <c r="YA4" s="182"/>
      <c r="YB4" s="182"/>
      <c r="YC4" s="182"/>
      <c r="YD4" s="182"/>
      <c r="YE4" s="182"/>
      <c r="YF4" s="182"/>
      <c r="YG4" s="182"/>
      <c r="YH4" s="182"/>
      <c r="YI4" s="182"/>
      <c r="YJ4" s="182"/>
      <c r="YK4" s="182"/>
      <c r="YL4" s="182"/>
      <c r="YM4" s="182"/>
      <c r="YN4" s="182"/>
      <c r="YO4" s="182"/>
      <c r="YP4" s="182"/>
      <c r="YQ4" s="182"/>
      <c r="YR4" s="182"/>
      <c r="YS4" s="182"/>
      <c r="YT4" s="182"/>
      <c r="YU4" s="182"/>
      <c r="YV4" s="182"/>
      <c r="YW4" s="182"/>
      <c r="YX4" s="182"/>
      <c r="YY4" s="182"/>
      <c r="YZ4" s="182"/>
      <c r="ZA4" s="182"/>
      <c r="ZB4" s="182"/>
      <c r="ZC4" s="182"/>
      <c r="ZD4" s="182"/>
      <c r="ZE4" s="182"/>
      <c r="ZF4" s="182"/>
      <c r="ZG4" s="182"/>
      <c r="ZH4" s="182"/>
      <c r="ZI4" s="182"/>
      <c r="ZJ4" s="182"/>
      <c r="ZK4" s="182"/>
      <c r="ZL4" s="182"/>
      <c r="ZM4" s="182"/>
      <c r="ZN4" s="182"/>
      <c r="ZO4" s="182"/>
      <c r="ZP4" s="182"/>
      <c r="ZQ4" s="182"/>
      <c r="ZR4" s="182"/>
      <c r="ZS4" s="182"/>
      <c r="ZT4" s="182"/>
      <c r="ZU4" s="182"/>
      <c r="ZV4" s="182"/>
      <c r="ZW4" s="182"/>
      <c r="ZX4" s="182"/>
      <c r="ZY4" s="182"/>
      <c r="ZZ4" s="182"/>
      <c r="AAA4" s="182"/>
      <c r="AAB4" s="182"/>
      <c r="AAC4" s="182"/>
      <c r="AAD4" s="182"/>
      <c r="AAE4" s="182"/>
      <c r="AAF4" s="182"/>
      <c r="AAG4" s="182"/>
      <c r="AAH4" s="182"/>
      <c r="AAI4" s="182"/>
      <c r="AAJ4" s="182"/>
      <c r="AAK4" s="182"/>
      <c r="AAL4" s="182"/>
      <c r="AAM4" s="182"/>
      <c r="AAN4" s="182"/>
      <c r="AAO4" s="182"/>
      <c r="AAP4" s="182"/>
      <c r="AAQ4" s="182"/>
      <c r="AAR4" s="182"/>
      <c r="AAS4" s="182"/>
      <c r="AAT4" s="182"/>
      <c r="AAU4" s="182"/>
      <c r="AAV4" s="182"/>
      <c r="AAW4" s="182"/>
      <c r="AAX4" s="182"/>
      <c r="AAY4" s="182"/>
      <c r="AAZ4" s="182"/>
      <c r="ABA4" s="182"/>
      <c r="ABB4" s="182"/>
      <c r="ABC4" s="182"/>
      <c r="ABD4" s="182"/>
      <c r="ABE4" s="182"/>
      <c r="ABF4" s="182"/>
      <c r="ABG4" s="182"/>
      <c r="ABH4" s="182"/>
      <c r="ABI4" s="182"/>
      <c r="ABJ4" s="182"/>
      <c r="ABK4" s="182"/>
      <c r="ABL4" s="182"/>
      <c r="ABM4" s="182"/>
      <c r="ABN4" s="182"/>
      <c r="ABO4" s="182"/>
      <c r="ABP4" s="182"/>
      <c r="ABQ4" s="182"/>
      <c r="ABR4" s="182"/>
      <c r="ABS4" s="182"/>
      <c r="ABT4" s="182"/>
      <c r="ABU4" s="182"/>
      <c r="ABV4" s="182"/>
      <c r="ABW4" s="182"/>
      <c r="ABX4" s="182"/>
      <c r="ABY4" s="182"/>
      <c r="ABZ4" s="182"/>
      <c r="ACA4" s="182"/>
      <c r="ACB4" s="182"/>
      <c r="ACC4" s="182"/>
      <c r="ACD4" s="182"/>
      <c r="ACE4" s="182"/>
      <c r="ACF4" s="182"/>
      <c r="ACG4" s="182"/>
      <c r="ACH4" s="182"/>
      <c r="ACI4" s="182"/>
      <c r="ACJ4" s="182"/>
      <c r="ACK4" s="182"/>
      <c r="ACL4" s="182"/>
      <c r="ACM4" s="182"/>
      <c r="ACN4" s="182"/>
      <c r="ACO4" s="182"/>
      <c r="ACP4" s="182"/>
      <c r="ACQ4" s="182"/>
      <c r="ACR4" s="182"/>
      <c r="ACS4" s="182"/>
      <c r="ACT4" s="182"/>
      <c r="ACU4" s="182"/>
      <c r="ACV4" s="182"/>
      <c r="ACW4" s="182"/>
      <c r="ACX4" s="182"/>
      <c r="ACY4" s="182"/>
      <c r="ACZ4" s="182"/>
      <c r="ADA4" s="182"/>
      <c r="ADB4" s="182"/>
      <c r="ADC4" s="182"/>
      <c r="ADD4" s="182"/>
      <c r="ADE4" s="182"/>
      <c r="ADF4" s="182"/>
      <c r="ADG4" s="182"/>
      <c r="ADH4" s="182"/>
      <c r="ADI4" s="182"/>
      <c r="ADJ4" s="182"/>
      <c r="ADK4" s="182"/>
      <c r="ADL4" s="182"/>
      <c r="ADM4" s="182"/>
      <c r="ADN4" s="182"/>
      <c r="ADO4" s="182"/>
      <c r="ADP4" s="182"/>
      <c r="ADQ4" s="182"/>
      <c r="ADR4" s="182"/>
      <c r="ADS4" s="182"/>
      <c r="ADT4" s="182"/>
      <c r="ADU4" s="182"/>
      <c r="ADV4" s="182"/>
      <c r="ADW4" s="182"/>
      <c r="ADX4" s="182"/>
      <c r="ADY4" s="182"/>
      <c r="ADZ4" s="182"/>
      <c r="AEA4" s="182"/>
      <c r="AEB4" s="182"/>
      <c r="AEC4" s="182"/>
      <c r="AED4" s="182"/>
      <c r="AEE4" s="182"/>
      <c r="AEF4" s="182"/>
      <c r="AEG4" s="182"/>
      <c r="AEH4" s="182"/>
      <c r="AEI4" s="182"/>
      <c r="AEJ4" s="182"/>
      <c r="AEK4" s="182"/>
      <c r="AEL4" s="182"/>
      <c r="AEM4" s="182"/>
      <c r="AEN4" s="182"/>
      <c r="AEO4" s="182"/>
      <c r="AEP4" s="182"/>
      <c r="AEQ4" s="182"/>
      <c r="AER4" s="182"/>
      <c r="AES4" s="182"/>
      <c r="AET4" s="182"/>
      <c r="AEU4" s="182"/>
      <c r="AEV4" s="182"/>
      <c r="AEW4" s="182"/>
      <c r="AEX4" s="182"/>
      <c r="AEY4" s="182"/>
      <c r="AEZ4" s="182"/>
      <c r="AFA4" s="182"/>
      <c r="AFB4" s="182"/>
      <c r="AFC4" s="182"/>
      <c r="AFD4" s="182"/>
      <c r="AFE4" s="182"/>
      <c r="AFF4" s="182"/>
      <c r="AFG4" s="182"/>
      <c r="AFH4" s="182"/>
      <c r="AFI4" s="182"/>
      <c r="AFJ4" s="182"/>
      <c r="AFK4" s="182"/>
      <c r="AFL4" s="182"/>
      <c r="AFM4" s="182"/>
      <c r="AFN4" s="182"/>
      <c r="AFO4" s="182"/>
      <c r="AFP4" s="182"/>
      <c r="AFQ4" s="182"/>
      <c r="AFR4" s="182"/>
      <c r="AFS4" s="182"/>
      <c r="AFT4" s="182"/>
      <c r="AFU4" s="182"/>
      <c r="AFV4" s="182"/>
      <c r="AFW4" s="182"/>
      <c r="AFX4" s="182"/>
      <c r="AFY4" s="182"/>
      <c r="AFZ4" s="182"/>
      <c r="AGA4" s="182"/>
      <c r="AGB4" s="182"/>
      <c r="AGC4" s="182"/>
      <c r="AGD4" s="182"/>
      <c r="AGE4" s="182"/>
      <c r="AGF4" s="182"/>
      <c r="AGG4" s="182"/>
      <c r="AGH4" s="182"/>
      <c r="AGI4" s="182"/>
      <c r="AGJ4" s="182"/>
      <c r="AGK4" s="182"/>
      <c r="AGL4" s="182"/>
      <c r="AGM4" s="182"/>
      <c r="AGN4" s="182"/>
      <c r="AGO4" s="182"/>
      <c r="AGP4" s="182"/>
      <c r="AGQ4" s="182"/>
      <c r="AGR4" s="182"/>
      <c r="AGS4" s="182"/>
      <c r="AGT4" s="182"/>
      <c r="AGU4" s="182"/>
      <c r="AGV4" s="182"/>
      <c r="AGW4" s="182"/>
      <c r="AGX4" s="182"/>
      <c r="AGY4" s="182"/>
      <c r="AGZ4" s="182"/>
      <c r="AHA4" s="182"/>
      <c r="AHB4" s="182"/>
      <c r="AHC4" s="182"/>
      <c r="AHD4" s="182"/>
      <c r="AHE4" s="182"/>
      <c r="AHF4" s="182"/>
      <c r="AHG4" s="182"/>
      <c r="AHH4" s="182"/>
      <c r="AHI4" s="182"/>
      <c r="AHJ4" s="182"/>
      <c r="AHK4" s="182"/>
      <c r="AHL4" s="182"/>
      <c r="AHM4" s="182"/>
      <c r="AHN4" s="182"/>
      <c r="AHO4" s="182"/>
      <c r="AHP4" s="182"/>
      <c r="AHQ4" s="182"/>
      <c r="AHR4" s="182"/>
      <c r="AHS4" s="182"/>
      <c r="AHT4" s="182"/>
      <c r="AHU4" s="182"/>
      <c r="AHV4" s="182"/>
      <c r="AHW4" s="182"/>
      <c r="AHX4" s="182"/>
      <c r="AHY4" s="182"/>
      <c r="AHZ4" s="182"/>
      <c r="AIA4" s="182"/>
      <c r="AIB4" s="182"/>
      <c r="AIC4" s="182"/>
      <c r="AID4" s="182"/>
      <c r="AIE4" s="182"/>
      <c r="AIF4" s="182"/>
      <c r="AIG4" s="182"/>
      <c r="AIH4" s="182"/>
      <c r="AII4" s="182"/>
    </row>
    <row r="5" spans="1:919" s="179" customFormat="1" ht="15.75" customHeight="1">
      <c r="A5" s="177"/>
      <c r="B5" s="177"/>
      <c r="C5" s="177"/>
      <c r="D5" s="177"/>
      <c r="E5" s="366" t="str">
        <f>IF(OsnPodaci!B27="","",OsnPodaci!B27)</f>
        <v>DUF "Blago" d.o.o.</v>
      </c>
      <c r="F5" s="377"/>
      <c r="G5" s="378"/>
      <c r="H5" s="378"/>
      <c r="I5" s="378"/>
      <c r="J5" s="373" t="str">
        <f>IF('#UNOS'!B12="","",'#UNOS'!B12)</f>
        <v>108</v>
      </c>
      <c r="K5" s="178"/>
      <c r="L5" s="178"/>
      <c r="M5" s="178"/>
      <c r="N5" s="178"/>
      <c r="O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</row>
    <row r="6" spans="1:919" s="183" customFormat="1" ht="15.75" customHeight="1">
      <c r="A6" s="180"/>
      <c r="B6" s="180"/>
      <c r="C6" s="180"/>
      <c r="D6" s="180"/>
      <c r="E6" s="387" t="s">
        <v>1934</v>
      </c>
      <c r="F6" s="377"/>
      <c r="G6" s="377"/>
      <c r="H6" s="377"/>
      <c r="I6" s="372"/>
      <c r="J6" s="388" t="s">
        <v>12</v>
      </c>
      <c r="K6" s="182"/>
      <c r="L6" s="182"/>
      <c r="M6" s="182"/>
      <c r="N6" s="182"/>
      <c r="O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2"/>
      <c r="NA6" s="182"/>
      <c r="NB6" s="182"/>
      <c r="NC6" s="182"/>
      <c r="ND6" s="182"/>
      <c r="NE6" s="182"/>
      <c r="NF6" s="182"/>
      <c r="NG6" s="182"/>
      <c r="NH6" s="182"/>
      <c r="NI6" s="182"/>
      <c r="NJ6" s="182"/>
      <c r="NK6" s="182"/>
      <c r="NL6" s="182"/>
      <c r="NM6" s="182"/>
      <c r="NN6" s="182"/>
      <c r="NO6" s="182"/>
      <c r="NP6" s="182"/>
      <c r="NQ6" s="182"/>
      <c r="NR6" s="182"/>
      <c r="NS6" s="182"/>
      <c r="NT6" s="182"/>
      <c r="NU6" s="182"/>
      <c r="NV6" s="182"/>
      <c r="NW6" s="182"/>
      <c r="NX6" s="182"/>
      <c r="NY6" s="182"/>
      <c r="NZ6" s="182"/>
      <c r="OA6" s="182"/>
      <c r="OB6" s="182"/>
      <c r="OC6" s="182"/>
      <c r="OD6" s="182"/>
      <c r="OE6" s="182"/>
      <c r="OF6" s="182"/>
      <c r="OG6" s="182"/>
      <c r="OH6" s="182"/>
      <c r="OI6" s="182"/>
      <c r="OJ6" s="182"/>
      <c r="OK6" s="182"/>
      <c r="OL6" s="182"/>
      <c r="OM6" s="182"/>
      <c r="ON6" s="182"/>
      <c r="OO6" s="182"/>
      <c r="OP6" s="182"/>
      <c r="OQ6" s="182"/>
      <c r="OR6" s="182"/>
      <c r="OS6" s="182"/>
      <c r="OT6" s="182"/>
      <c r="OU6" s="182"/>
      <c r="OV6" s="182"/>
      <c r="OW6" s="182"/>
      <c r="OX6" s="182"/>
      <c r="OY6" s="182"/>
      <c r="OZ6" s="182"/>
      <c r="PA6" s="182"/>
      <c r="PB6" s="182"/>
      <c r="PC6" s="182"/>
      <c r="PD6" s="182"/>
      <c r="PE6" s="182"/>
      <c r="PF6" s="182"/>
      <c r="PG6" s="182"/>
      <c r="PH6" s="182"/>
      <c r="PI6" s="182"/>
      <c r="PJ6" s="182"/>
      <c r="PK6" s="182"/>
      <c r="PL6" s="182"/>
      <c r="PM6" s="182"/>
      <c r="PN6" s="182"/>
      <c r="PO6" s="182"/>
      <c r="PP6" s="182"/>
      <c r="PQ6" s="182"/>
      <c r="PR6" s="182"/>
      <c r="PS6" s="182"/>
      <c r="PT6" s="182"/>
      <c r="PU6" s="182"/>
      <c r="PV6" s="182"/>
      <c r="PW6" s="182"/>
      <c r="PX6" s="182"/>
      <c r="PY6" s="182"/>
      <c r="PZ6" s="182"/>
      <c r="QA6" s="182"/>
      <c r="QB6" s="182"/>
      <c r="QC6" s="182"/>
      <c r="QD6" s="182"/>
      <c r="QE6" s="182"/>
      <c r="QF6" s="182"/>
      <c r="QG6" s="182"/>
      <c r="QH6" s="182"/>
      <c r="QI6" s="182"/>
      <c r="QJ6" s="182"/>
      <c r="QK6" s="182"/>
      <c r="QL6" s="182"/>
      <c r="QM6" s="182"/>
      <c r="QN6" s="182"/>
      <c r="QO6" s="182"/>
      <c r="QP6" s="182"/>
      <c r="QQ6" s="182"/>
      <c r="QR6" s="182"/>
      <c r="QS6" s="182"/>
      <c r="QT6" s="182"/>
      <c r="QU6" s="182"/>
      <c r="QV6" s="182"/>
      <c r="QW6" s="182"/>
      <c r="QX6" s="182"/>
      <c r="QY6" s="182"/>
      <c r="QZ6" s="182"/>
      <c r="RA6" s="182"/>
      <c r="RB6" s="182"/>
      <c r="RC6" s="182"/>
      <c r="RD6" s="182"/>
      <c r="RE6" s="182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182"/>
      <c r="SN6" s="182"/>
      <c r="SO6" s="182"/>
      <c r="SP6" s="182"/>
      <c r="SQ6" s="182"/>
      <c r="SR6" s="182"/>
      <c r="SS6" s="182"/>
      <c r="ST6" s="182"/>
      <c r="SU6" s="182"/>
      <c r="SV6" s="182"/>
      <c r="SW6" s="182"/>
      <c r="SX6" s="182"/>
      <c r="SY6" s="182"/>
      <c r="SZ6" s="182"/>
      <c r="TA6" s="182"/>
      <c r="TB6" s="182"/>
      <c r="TC6" s="182"/>
      <c r="TD6" s="182"/>
      <c r="TE6" s="182"/>
      <c r="TF6" s="182"/>
      <c r="TG6" s="182"/>
      <c r="TH6" s="182"/>
      <c r="TI6" s="182"/>
      <c r="TJ6" s="182"/>
      <c r="TK6" s="182"/>
      <c r="TL6" s="182"/>
      <c r="TM6" s="182"/>
      <c r="TN6" s="182"/>
      <c r="TO6" s="182"/>
      <c r="TP6" s="182"/>
      <c r="TQ6" s="182"/>
      <c r="TR6" s="182"/>
      <c r="TS6" s="182"/>
      <c r="TT6" s="182"/>
      <c r="TU6" s="182"/>
      <c r="TV6" s="182"/>
      <c r="TW6" s="182"/>
      <c r="TX6" s="182"/>
      <c r="TY6" s="182"/>
      <c r="TZ6" s="182"/>
      <c r="UA6" s="182"/>
      <c r="UB6" s="182"/>
      <c r="UC6" s="182"/>
      <c r="UD6" s="182"/>
      <c r="UE6" s="182"/>
      <c r="UF6" s="182"/>
      <c r="UG6" s="182"/>
      <c r="UH6" s="182"/>
      <c r="UI6" s="182"/>
      <c r="UJ6" s="182"/>
      <c r="UK6" s="182"/>
      <c r="UL6" s="182"/>
      <c r="UM6" s="182"/>
      <c r="UN6" s="182"/>
      <c r="UO6" s="182"/>
      <c r="UP6" s="182"/>
      <c r="UQ6" s="182"/>
      <c r="UR6" s="182"/>
      <c r="US6" s="182"/>
      <c r="UT6" s="182"/>
      <c r="UU6" s="182"/>
      <c r="UV6" s="182"/>
      <c r="UW6" s="182"/>
      <c r="UX6" s="182"/>
      <c r="UY6" s="182"/>
      <c r="UZ6" s="182"/>
      <c r="VA6" s="182"/>
      <c r="VB6" s="182"/>
      <c r="VC6" s="182"/>
      <c r="VD6" s="182"/>
      <c r="VE6" s="182"/>
      <c r="VF6" s="182"/>
      <c r="VG6" s="182"/>
      <c r="VH6" s="182"/>
      <c r="VI6" s="182"/>
      <c r="VJ6" s="182"/>
      <c r="VK6" s="182"/>
      <c r="VL6" s="182"/>
      <c r="VM6" s="182"/>
      <c r="VN6" s="182"/>
      <c r="VO6" s="182"/>
      <c r="VP6" s="182"/>
      <c r="VQ6" s="182"/>
      <c r="VR6" s="182"/>
      <c r="VS6" s="182"/>
      <c r="VT6" s="182"/>
      <c r="VU6" s="182"/>
      <c r="VV6" s="182"/>
      <c r="VW6" s="182"/>
      <c r="VX6" s="182"/>
      <c r="VY6" s="182"/>
      <c r="VZ6" s="182"/>
      <c r="WA6" s="182"/>
      <c r="WB6" s="182"/>
      <c r="WC6" s="182"/>
      <c r="WD6" s="182"/>
      <c r="WE6" s="182"/>
      <c r="WF6" s="182"/>
      <c r="WG6" s="182"/>
      <c r="WH6" s="182"/>
      <c r="WI6" s="182"/>
      <c r="WJ6" s="182"/>
      <c r="WK6" s="182"/>
      <c r="WL6" s="182"/>
      <c r="WM6" s="182"/>
      <c r="WN6" s="182"/>
      <c r="WO6" s="182"/>
      <c r="WP6" s="182"/>
      <c r="WQ6" s="182"/>
      <c r="WR6" s="182"/>
      <c r="WS6" s="182"/>
      <c r="WT6" s="182"/>
      <c r="WU6" s="182"/>
      <c r="WV6" s="182"/>
      <c r="WW6" s="182"/>
      <c r="WX6" s="182"/>
      <c r="WY6" s="182"/>
      <c r="WZ6" s="182"/>
      <c r="XA6" s="182"/>
      <c r="XB6" s="182"/>
      <c r="XC6" s="182"/>
      <c r="XD6" s="182"/>
      <c r="XE6" s="182"/>
      <c r="XF6" s="182"/>
      <c r="XG6" s="182"/>
      <c r="XH6" s="182"/>
      <c r="XI6" s="182"/>
      <c r="XJ6" s="182"/>
      <c r="XK6" s="182"/>
      <c r="XL6" s="182"/>
      <c r="XM6" s="182"/>
      <c r="XN6" s="182"/>
      <c r="XO6" s="182"/>
      <c r="XP6" s="182"/>
      <c r="XQ6" s="182"/>
      <c r="XR6" s="182"/>
      <c r="XS6" s="182"/>
      <c r="XT6" s="182"/>
      <c r="XU6" s="182"/>
      <c r="XV6" s="182"/>
      <c r="XW6" s="182"/>
      <c r="XX6" s="182"/>
      <c r="XY6" s="182"/>
      <c r="XZ6" s="182"/>
      <c r="YA6" s="182"/>
      <c r="YB6" s="182"/>
      <c r="YC6" s="182"/>
      <c r="YD6" s="182"/>
      <c r="YE6" s="182"/>
      <c r="YF6" s="182"/>
      <c r="YG6" s="182"/>
      <c r="YH6" s="182"/>
      <c r="YI6" s="182"/>
      <c r="YJ6" s="182"/>
      <c r="YK6" s="182"/>
      <c r="YL6" s="182"/>
      <c r="YM6" s="182"/>
      <c r="YN6" s="182"/>
      <c r="YO6" s="182"/>
      <c r="YP6" s="182"/>
      <c r="YQ6" s="182"/>
      <c r="YR6" s="182"/>
      <c r="YS6" s="182"/>
      <c r="YT6" s="182"/>
      <c r="YU6" s="182"/>
      <c r="YV6" s="182"/>
      <c r="YW6" s="182"/>
      <c r="YX6" s="182"/>
      <c r="YY6" s="182"/>
      <c r="YZ6" s="182"/>
      <c r="ZA6" s="182"/>
      <c r="ZB6" s="182"/>
      <c r="ZC6" s="182"/>
      <c r="ZD6" s="182"/>
      <c r="ZE6" s="182"/>
      <c r="ZF6" s="182"/>
      <c r="ZG6" s="182"/>
      <c r="ZH6" s="182"/>
      <c r="ZI6" s="182"/>
      <c r="ZJ6" s="182"/>
      <c r="ZK6" s="182"/>
      <c r="ZL6" s="182"/>
      <c r="ZM6" s="182"/>
      <c r="ZN6" s="182"/>
      <c r="ZO6" s="182"/>
      <c r="ZP6" s="182"/>
      <c r="ZQ6" s="182"/>
      <c r="ZR6" s="182"/>
      <c r="ZS6" s="182"/>
      <c r="ZT6" s="182"/>
      <c r="ZU6" s="182"/>
      <c r="ZV6" s="182"/>
      <c r="ZW6" s="182"/>
      <c r="ZX6" s="182"/>
      <c r="ZY6" s="182"/>
      <c r="ZZ6" s="182"/>
      <c r="AAA6" s="182"/>
      <c r="AAB6" s="182"/>
      <c r="AAC6" s="182"/>
      <c r="AAD6" s="182"/>
      <c r="AAE6" s="182"/>
      <c r="AAF6" s="182"/>
      <c r="AAG6" s="182"/>
      <c r="AAH6" s="182"/>
      <c r="AAI6" s="182"/>
      <c r="AAJ6" s="182"/>
      <c r="AAK6" s="182"/>
      <c r="AAL6" s="182"/>
      <c r="AAM6" s="182"/>
      <c r="AAN6" s="182"/>
      <c r="AAO6" s="182"/>
      <c r="AAP6" s="182"/>
      <c r="AAQ6" s="182"/>
      <c r="AAR6" s="182"/>
      <c r="AAS6" s="182"/>
      <c r="AAT6" s="182"/>
      <c r="AAU6" s="182"/>
      <c r="AAV6" s="182"/>
      <c r="AAW6" s="182"/>
      <c r="AAX6" s="182"/>
      <c r="AAY6" s="182"/>
      <c r="AAZ6" s="182"/>
      <c r="ABA6" s="182"/>
      <c r="ABB6" s="182"/>
      <c r="ABC6" s="182"/>
      <c r="ABD6" s="182"/>
      <c r="ABE6" s="182"/>
      <c r="ABF6" s="182"/>
      <c r="ABG6" s="182"/>
      <c r="ABH6" s="182"/>
      <c r="ABI6" s="182"/>
      <c r="ABJ6" s="182"/>
      <c r="ABK6" s="182"/>
      <c r="ABL6" s="182"/>
      <c r="ABM6" s="182"/>
      <c r="ABN6" s="182"/>
      <c r="ABO6" s="182"/>
      <c r="ABP6" s="182"/>
      <c r="ABQ6" s="182"/>
      <c r="ABR6" s="182"/>
      <c r="ABS6" s="182"/>
      <c r="ABT6" s="182"/>
      <c r="ABU6" s="182"/>
      <c r="ABV6" s="182"/>
      <c r="ABW6" s="182"/>
      <c r="ABX6" s="182"/>
      <c r="ABY6" s="182"/>
      <c r="ABZ6" s="182"/>
      <c r="ACA6" s="182"/>
      <c r="ACB6" s="182"/>
      <c r="ACC6" s="182"/>
      <c r="ACD6" s="182"/>
      <c r="ACE6" s="182"/>
      <c r="ACF6" s="182"/>
      <c r="ACG6" s="182"/>
      <c r="ACH6" s="182"/>
      <c r="ACI6" s="182"/>
      <c r="ACJ6" s="182"/>
      <c r="ACK6" s="182"/>
      <c r="ACL6" s="182"/>
      <c r="ACM6" s="182"/>
      <c r="ACN6" s="182"/>
      <c r="ACO6" s="182"/>
      <c r="ACP6" s="182"/>
      <c r="ACQ6" s="182"/>
      <c r="ACR6" s="182"/>
      <c r="ACS6" s="182"/>
      <c r="ACT6" s="182"/>
      <c r="ACU6" s="182"/>
      <c r="ACV6" s="182"/>
      <c r="ACW6" s="182"/>
      <c r="ACX6" s="182"/>
      <c r="ACY6" s="182"/>
      <c r="ACZ6" s="182"/>
      <c r="ADA6" s="182"/>
      <c r="ADB6" s="182"/>
      <c r="ADC6" s="182"/>
      <c r="ADD6" s="182"/>
      <c r="ADE6" s="182"/>
      <c r="ADF6" s="182"/>
      <c r="ADG6" s="182"/>
      <c r="ADH6" s="182"/>
      <c r="ADI6" s="182"/>
      <c r="ADJ6" s="182"/>
      <c r="ADK6" s="182"/>
      <c r="ADL6" s="182"/>
      <c r="ADM6" s="182"/>
      <c r="ADN6" s="182"/>
      <c r="ADO6" s="182"/>
      <c r="ADP6" s="182"/>
      <c r="ADQ6" s="182"/>
      <c r="ADR6" s="182"/>
      <c r="ADS6" s="182"/>
      <c r="ADT6" s="182"/>
      <c r="ADU6" s="182"/>
      <c r="ADV6" s="182"/>
      <c r="ADW6" s="182"/>
      <c r="ADX6" s="182"/>
      <c r="ADY6" s="182"/>
      <c r="ADZ6" s="182"/>
      <c r="AEA6" s="182"/>
      <c r="AEB6" s="182"/>
      <c r="AEC6" s="182"/>
      <c r="AED6" s="182"/>
      <c r="AEE6" s="182"/>
      <c r="AEF6" s="182"/>
      <c r="AEG6" s="182"/>
      <c r="AEH6" s="182"/>
      <c r="AEI6" s="182"/>
      <c r="AEJ6" s="182"/>
      <c r="AEK6" s="182"/>
      <c r="AEL6" s="182"/>
      <c r="AEM6" s="182"/>
      <c r="AEN6" s="182"/>
      <c r="AEO6" s="182"/>
      <c r="AEP6" s="182"/>
      <c r="AEQ6" s="182"/>
      <c r="AER6" s="182"/>
      <c r="AES6" s="182"/>
      <c r="AET6" s="182"/>
      <c r="AEU6" s="182"/>
      <c r="AEV6" s="182"/>
      <c r="AEW6" s="182"/>
      <c r="AEX6" s="182"/>
      <c r="AEY6" s="182"/>
      <c r="AEZ6" s="182"/>
      <c r="AFA6" s="182"/>
      <c r="AFB6" s="182"/>
      <c r="AFC6" s="182"/>
      <c r="AFD6" s="182"/>
      <c r="AFE6" s="182"/>
      <c r="AFF6" s="182"/>
      <c r="AFG6" s="182"/>
      <c r="AFH6" s="182"/>
      <c r="AFI6" s="182"/>
      <c r="AFJ6" s="182"/>
      <c r="AFK6" s="182"/>
      <c r="AFL6" s="182"/>
      <c r="AFM6" s="182"/>
      <c r="AFN6" s="182"/>
      <c r="AFO6" s="182"/>
      <c r="AFP6" s="182"/>
      <c r="AFQ6" s="182"/>
      <c r="AFR6" s="182"/>
      <c r="AFS6" s="182"/>
      <c r="AFT6" s="182"/>
      <c r="AFU6" s="182"/>
      <c r="AFV6" s="182"/>
      <c r="AFW6" s="182"/>
      <c r="AFX6" s="182"/>
      <c r="AFY6" s="182"/>
      <c r="AFZ6" s="182"/>
      <c r="AGA6" s="182"/>
      <c r="AGB6" s="182"/>
      <c r="AGC6" s="182"/>
      <c r="AGD6" s="182"/>
      <c r="AGE6" s="182"/>
      <c r="AGF6" s="182"/>
      <c r="AGG6" s="182"/>
      <c r="AGH6" s="182"/>
      <c r="AGI6" s="182"/>
      <c r="AGJ6" s="182"/>
      <c r="AGK6" s="182"/>
      <c r="AGL6" s="182"/>
      <c r="AGM6" s="182"/>
      <c r="AGN6" s="182"/>
      <c r="AGO6" s="182"/>
      <c r="AGP6" s="182"/>
      <c r="AGQ6" s="182"/>
      <c r="AGR6" s="182"/>
      <c r="AGS6" s="182"/>
      <c r="AGT6" s="182"/>
      <c r="AGU6" s="182"/>
      <c r="AGV6" s="182"/>
      <c r="AGW6" s="182"/>
      <c r="AGX6" s="182"/>
      <c r="AGY6" s="182"/>
      <c r="AGZ6" s="182"/>
      <c r="AHA6" s="182"/>
      <c r="AHB6" s="182"/>
      <c r="AHC6" s="182"/>
      <c r="AHD6" s="182"/>
      <c r="AHE6" s="182"/>
      <c r="AHF6" s="182"/>
      <c r="AHG6" s="182"/>
      <c r="AHH6" s="182"/>
      <c r="AHI6" s="182"/>
      <c r="AHJ6" s="182"/>
      <c r="AHK6" s="182"/>
      <c r="AHL6" s="182"/>
      <c r="AHM6" s="182"/>
      <c r="AHN6" s="182"/>
      <c r="AHO6" s="182"/>
      <c r="AHP6" s="182"/>
      <c r="AHQ6" s="182"/>
      <c r="AHR6" s="182"/>
      <c r="AHS6" s="182"/>
      <c r="AHT6" s="182"/>
      <c r="AHU6" s="182"/>
      <c r="AHV6" s="182"/>
      <c r="AHW6" s="182"/>
      <c r="AHX6" s="182"/>
      <c r="AHY6" s="182"/>
      <c r="AHZ6" s="182"/>
      <c r="AIA6" s="182"/>
      <c r="AIB6" s="182"/>
      <c r="AIC6" s="182"/>
      <c r="AID6" s="182"/>
      <c r="AIE6" s="182"/>
      <c r="AIF6" s="182"/>
      <c r="AIG6" s="182"/>
      <c r="AIH6" s="182"/>
      <c r="AII6" s="182"/>
    </row>
    <row r="7" spans="1:919" s="183" customFormat="1" ht="15.75" customHeight="1">
      <c r="A7" s="180"/>
      <c r="B7" s="180"/>
      <c r="C7" s="180"/>
      <c r="D7" s="180"/>
      <c r="E7" s="366" t="str">
        <f>IF(OR(OsnPodaci!A27="",OsnPodaci!E27=""),"",CONCATENATE(OsnPodaci!E27, "; ", OsnPodaci!A27))</f>
        <v>65-01-0034-11; 4200052540007</v>
      </c>
      <c r="F7" s="374"/>
      <c r="G7" s="375"/>
      <c r="H7" s="375"/>
      <c r="I7" s="372"/>
      <c r="J7" s="373" t="str">
        <f>IF(OsnPodaci!B23="","",OsnPodaci!B23)</f>
        <v>Raiffeisen Bank d.d. BiH</v>
      </c>
      <c r="K7" s="182"/>
      <c r="L7" s="182"/>
      <c r="M7" s="182"/>
      <c r="N7" s="182"/>
      <c r="O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/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/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/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/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/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182"/>
      <c r="PR7" s="182"/>
      <c r="PS7" s="182"/>
      <c r="PT7" s="182"/>
      <c r="PU7" s="182"/>
      <c r="PV7" s="182"/>
      <c r="PW7" s="182"/>
      <c r="PX7" s="182"/>
      <c r="PY7" s="182"/>
      <c r="PZ7" s="182"/>
      <c r="QA7" s="182"/>
      <c r="QB7" s="182"/>
      <c r="QC7" s="182"/>
      <c r="QD7" s="182"/>
      <c r="QE7" s="182"/>
      <c r="QF7" s="182"/>
      <c r="QG7" s="182"/>
      <c r="QH7" s="182"/>
      <c r="QI7" s="182"/>
      <c r="QJ7" s="182"/>
      <c r="QK7" s="182"/>
      <c r="QL7" s="182"/>
      <c r="QM7" s="182"/>
      <c r="QN7" s="182"/>
      <c r="QO7" s="182"/>
      <c r="QP7" s="182"/>
      <c r="QQ7" s="182"/>
      <c r="QR7" s="182"/>
      <c r="QS7" s="182"/>
      <c r="QT7" s="182"/>
      <c r="QU7" s="182"/>
      <c r="QV7" s="182"/>
      <c r="QW7" s="182"/>
      <c r="QX7" s="182"/>
      <c r="QY7" s="182"/>
      <c r="QZ7" s="182"/>
      <c r="RA7" s="182"/>
      <c r="RB7" s="182"/>
      <c r="RC7" s="182"/>
      <c r="RD7" s="182"/>
      <c r="RE7" s="182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182"/>
      <c r="SN7" s="182"/>
      <c r="SO7" s="182"/>
      <c r="SP7" s="182"/>
      <c r="SQ7" s="182"/>
      <c r="SR7" s="182"/>
      <c r="SS7" s="182"/>
      <c r="ST7" s="182"/>
      <c r="SU7" s="182"/>
      <c r="SV7" s="182"/>
      <c r="SW7" s="182"/>
      <c r="SX7" s="182"/>
      <c r="SY7" s="182"/>
      <c r="SZ7" s="182"/>
      <c r="TA7" s="182"/>
      <c r="TB7" s="182"/>
      <c r="TC7" s="182"/>
      <c r="TD7" s="182"/>
      <c r="TE7" s="182"/>
      <c r="TF7" s="182"/>
      <c r="TG7" s="182"/>
      <c r="TH7" s="182"/>
      <c r="TI7" s="182"/>
      <c r="TJ7" s="182"/>
      <c r="TK7" s="182"/>
      <c r="TL7" s="182"/>
      <c r="TM7" s="182"/>
      <c r="TN7" s="182"/>
      <c r="TO7" s="182"/>
      <c r="TP7" s="182"/>
      <c r="TQ7" s="182"/>
      <c r="TR7" s="182"/>
      <c r="TS7" s="182"/>
      <c r="TT7" s="182"/>
      <c r="TU7" s="182"/>
      <c r="TV7" s="182"/>
      <c r="TW7" s="182"/>
      <c r="TX7" s="182"/>
      <c r="TY7" s="182"/>
      <c r="TZ7" s="182"/>
      <c r="UA7" s="182"/>
      <c r="UB7" s="182"/>
      <c r="UC7" s="182"/>
      <c r="UD7" s="182"/>
      <c r="UE7" s="182"/>
      <c r="UF7" s="182"/>
      <c r="UG7" s="182"/>
      <c r="UH7" s="182"/>
      <c r="UI7" s="182"/>
      <c r="UJ7" s="182"/>
      <c r="UK7" s="182"/>
      <c r="UL7" s="182"/>
      <c r="UM7" s="182"/>
      <c r="UN7" s="182"/>
      <c r="UO7" s="182"/>
      <c r="UP7" s="182"/>
      <c r="UQ7" s="182"/>
      <c r="UR7" s="182"/>
      <c r="US7" s="182"/>
      <c r="UT7" s="182"/>
      <c r="UU7" s="182"/>
      <c r="UV7" s="182"/>
      <c r="UW7" s="182"/>
      <c r="UX7" s="182"/>
      <c r="UY7" s="182"/>
      <c r="UZ7" s="182"/>
      <c r="VA7" s="182"/>
      <c r="VB7" s="182"/>
      <c r="VC7" s="182"/>
      <c r="VD7" s="182"/>
      <c r="VE7" s="182"/>
      <c r="VF7" s="182"/>
      <c r="VG7" s="182"/>
      <c r="VH7" s="182"/>
      <c r="VI7" s="182"/>
      <c r="VJ7" s="182"/>
      <c r="VK7" s="182"/>
      <c r="VL7" s="182"/>
      <c r="VM7" s="182"/>
      <c r="VN7" s="182"/>
      <c r="VO7" s="182"/>
      <c r="VP7" s="182"/>
      <c r="VQ7" s="182"/>
      <c r="VR7" s="182"/>
      <c r="VS7" s="182"/>
      <c r="VT7" s="182"/>
      <c r="VU7" s="182"/>
      <c r="VV7" s="182"/>
      <c r="VW7" s="182"/>
      <c r="VX7" s="182"/>
      <c r="VY7" s="182"/>
      <c r="VZ7" s="182"/>
      <c r="WA7" s="182"/>
      <c r="WB7" s="182"/>
      <c r="WC7" s="182"/>
      <c r="WD7" s="182"/>
      <c r="WE7" s="182"/>
      <c r="WF7" s="182"/>
      <c r="WG7" s="182"/>
      <c r="WH7" s="182"/>
      <c r="WI7" s="182"/>
      <c r="WJ7" s="182"/>
      <c r="WK7" s="182"/>
      <c r="WL7" s="182"/>
      <c r="WM7" s="182"/>
      <c r="WN7" s="182"/>
      <c r="WO7" s="182"/>
      <c r="WP7" s="182"/>
      <c r="WQ7" s="182"/>
      <c r="WR7" s="182"/>
      <c r="WS7" s="182"/>
      <c r="WT7" s="182"/>
      <c r="WU7" s="182"/>
      <c r="WV7" s="182"/>
      <c r="WW7" s="182"/>
      <c r="WX7" s="182"/>
      <c r="WY7" s="182"/>
      <c r="WZ7" s="182"/>
      <c r="XA7" s="182"/>
      <c r="XB7" s="182"/>
      <c r="XC7" s="182"/>
      <c r="XD7" s="182"/>
      <c r="XE7" s="182"/>
      <c r="XF7" s="182"/>
      <c r="XG7" s="182"/>
      <c r="XH7" s="182"/>
      <c r="XI7" s="182"/>
      <c r="XJ7" s="182"/>
      <c r="XK7" s="182"/>
      <c r="XL7" s="182"/>
      <c r="XM7" s="182"/>
      <c r="XN7" s="182"/>
      <c r="XO7" s="182"/>
      <c r="XP7" s="182"/>
      <c r="XQ7" s="182"/>
      <c r="XR7" s="182"/>
      <c r="XS7" s="182"/>
      <c r="XT7" s="182"/>
      <c r="XU7" s="182"/>
      <c r="XV7" s="182"/>
      <c r="XW7" s="182"/>
      <c r="XX7" s="182"/>
      <c r="XY7" s="182"/>
      <c r="XZ7" s="182"/>
      <c r="YA7" s="182"/>
      <c r="YB7" s="182"/>
      <c r="YC7" s="182"/>
      <c r="YD7" s="182"/>
      <c r="YE7" s="182"/>
      <c r="YF7" s="182"/>
      <c r="YG7" s="182"/>
      <c r="YH7" s="182"/>
      <c r="YI7" s="182"/>
      <c r="YJ7" s="182"/>
      <c r="YK7" s="182"/>
      <c r="YL7" s="182"/>
      <c r="YM7" s="182"/>
      <c r="YN7" s="182"/>
      <c r="YO7" s="182"/>
      <c r="YP7" s="182"/>
      <c r="YQ7" s="182"/>
      <c r="YR7" s="182"/>
      <c r="YS7" s="182"/>
      <c r="YT7" s="182"/>
      <c r="YU7" s="182"/>
      <c r="YV7" s="182"/>
      <c r="YW7" s="182"/>
      <c r="YX7" s="182"/>
      <c r="YY7" s="182"/>
      <c r="YZ7" s="182"/>
      <c r="ZA7" s="182"/>
      <c r="ZB7" s="182"/>
      <c r="ZC7" s="182"/>
      <c r="ZD7" s="182"/>
      <c r="ZE7" s="182"/>
      <c r="ZF7" s="182"/>
      <c r="ZG7" s="182"/>
      <c r="ZH7" s="182"/>
      <c r="ZI7" s="182"/>
      <c r="ZJ7" s="182"/>
      <c r="ZK7" s="182"/>
      <c r="ZL7" s="182"/>
      <c r="ZM7" s="182"/>
      <c r="ZN7" s="182"/>
      <c r="ZO7" s="182"/>
      <c r="ZP7" s="182"/>
      <c r="ZQ7" s="182"/>
      <c r="ZR7" s="182"/>
      <c r="ZS7" s="182"/>
      <c r="ZT7" s="182"/>
      <c r="ZU7" s="182"/>
      <c r="ZV7" s="182"/>
      <c r="ZW7" s="182"/>
      <c r="ZX7" s="182"/>
      <c r="ZY7" s="182"/>
      <c r="ZZ7" s="182"/>
      <c r="AAA7" s="182"/>
      <c r="AAB7" s="182"/>
      <c r="AAC7" s="182"/>
      <c r="AAD7" s="182"/>
      <c r="AAE7" s="182"/>
      <c r="AAF7" s="182"/>
      <c r="AAG7" s="182"/>
      <c r="AAH7" s="182"/>
      <c r="AAI7" s="182"/>
      <c r="AAJ7" s="182"/>
      <c r="AAK7" s="182"/>
      <c r="AAL7" s="182"/>
      <c r="AAM7" s="182"/>
      <c r="AAN7" s="182"/>
      <c r="AAO7" s="182"/>
      <c r="AAP7" s="182"/>
      <c r="AAQ7" s="182"/>
      <c r="AAR7" s="182"/>
      <c r="AAS7" s="182"/>
      <c r="AAT7" s="182"/>
      <c r="AAU7" s="182"/>
      <c r="AAV7" s="182"/>
      <c r="AAW7" s="182"/>
      <c r="AAX7" s="182"/>
      <c r="AAY7" s="182"/>
      <c r="AAZ7" s="182"/>
      <c r="ABA7" s="182"/>
      <c r="ABB7" s="182"/>
      <c r="ABC7" s="182"/>
      <c r="ABD7" s="182"/>
      <c r="ABE7" s="182"/>
      <c r="ABF7" s="182"/>
      <c r="ABG7" s="182"/>
      <c r="ABH7" s="182"/>
      <c r="ABI7" s="182"/>
      <c r="ABJ7" s="182"/>
      <c r="ABK7" s="182"/>
      <c r="ABL7" s="182"/>
      <c r="ABM7" s="182"/>
      <c r="ABN7" s="182"/>
      <c r="ABO7" s="182"/>
      <c r="ABP7" s="182"/>
      <c r="ABQ7" s="182"/>
      <c r="ABR7" s="182"/>
      <c r="ABS7" s="182"/>
      <c r="ABT7" s="182"/>
      <c r="ABU7" s="182"/>
      <c r="ABV7" s="182"/>
      <c r="ABW7" s="182"/>
      <c r="ABX7" s="182"/>
      <c r="ABY7" s="182"/>
      <c r="ABZ7" s="182"/>
      <c r="ACA7" s="182"/>
      <c r="ACB7" s="182"/>
      <c r="ACC7" s="182"/>
      <c r="ACD7" s="182"/>
      <c r="ACE7" s="182"/>
      <c r="ACF7" s="182"/>
      <c r="ACG7" s="182"/>
      <c r="ACH7" s="182"/>
      <c r="ACI7" s="182"/>
      <c r="ACJ7" s="182"/>
      <c r="ACK7" s="182"/>
      <c r="ACL7" s="182"/>
      <c r="ACM7" s="182"/>
      <c r="ACN7" s="182"/>
      <c r="ACO7" s="182"/>
      <c r="ACP7" s="182"/>
      <c r="ACQ7" s="182"/>
      <c r="ACR7" s="182"/>
      <c r="ACS7" s="182"/>
      <c r="ACT7" s="182"/>
      <c r="ACU7" s="182"/>
      <c r="ACV7" s="182"/>
      <c r="ACW7" s="182"/>
      <c r="ACX7" s="182"/>
      <c r="ACY7" s="182"/>
      <c r="ACZ7" s="182"/>
      <c r="ADA7" s="182"/>
      <c r="ADB7" s="182"/>
      <c r="ADC7" s="182"/>
      <c r="ADD7" s="182"/>
      <c r="ADE7" s="182"/>
      <c r="ADF7" s="182"/>
      <c r="ADG7" s="182"/>
      <c r="ADH7" s="182"/>
      <c r="ADI7" s="182"/>
      <c r="ADJ7" s="182"/>
      <c r="ADK7" s="182"/>
      <c r="ADL7" s="182"/>
      <c r="ADM7" s="182"/>
      <c r="ADN7" s="182"/>
      <c r="ADO7" s="182"/>
      <c r="ADP7" s="182"/>
      <c r="ADQ7" s="182"/>
      <c r="ADR7" s="182"/>
      <c r="ADS7" s="182"/>
      <c r="ADT7" s="182"/>
      <c r="ADU7" s="182"/>
      <c r="ADV7" s="182"/>
      <c r="ADW7" s="182"/>
      <c r="ADX7" s="182"/>
      <c r="ADY7" s="182"/>
      <c r="ADZ7" s="182"/>
      <c r="AEA7" s="182"/>
      <c r="AEB7" s="182"/>
      <c r="AEC7" s="182"/>
      <c r="AED7" s="182"/>
      <c r="AEE7" s="182"/>
      <c r="AEF7" s="182"/>
      <c r="AEG7" s="182"/>
      <c r="AEH7" s="182"/>
      <c r="AEI7" s="182"/>
      <c r="AEJ7" s="182"/>
      <c r="AEK7" s="182"/>
      <c r="AEL7" s="182"/>
      <c r="AEM7" s="182"/>
      <c r="AEN7" s="182"/>
      <c r="AEO7" s="182"/>
      <c r="AEP7" s="182"/>
      <c r="AEQ7" s="182"/>
      <c r="AER7" s="182"/>
      <c r="AES7" s="182"/>
      <c r="AET7" s="182"/>
      <c r="AEU7" s="182"/>
      <c r="AEV7" s="182"/>
      <c r="AEW7" s="182"/>
      <c r="AEX7" s="182"/>
      <c r="AEY7" s="182"/>
      <c r="AEZ7" s="182"/>
      <c r="AFA7" s="182"/>
      <c r="AFB7" s="182"/>
      <c r="AFC7" s="182"/>
      <c r="AFD7" s="182"/>
      <c r="AFE7" s="182"/>
      <c r="AFF7" s="182"/>
      <c r="AFG7" s="182"/>
      <c r="AFH7" s="182"/>
      <c r="AFI7" s="182"/>
      <c r="AFJ7" s="182"/>
      <c r="AFK7" s="182"/>
      <c r="AFL7" s="182"/>
      <c r="AFM7" s="182"/>
      <c r="AFN7" s="182"/>
      <c r="AFO7" s="182"/>
      <c r="AFP7" s="182"/>
      <c r="AFQ7" s="182"/>
      <c r="AFR7" s="182"/>
      <c r="AFS7" s="182"/>
      <c r="AFT7" s="182"/>
      <c r="AFU7" s="182"/>
      <c r="AFV7" s="182"/>
      <c r="AFW7" s="182"/>
      <c r="AFX7" s="182"/>
      <c r="AFY7" s="182"/>
      <c r="AFZ7" s="182"/>
      <c r="AGA7" s="182"/>
      <c r="AGB7" s="182"/>
      <c r="AGC7" s="182"/>
      <c r="AGD7" s="182"/>
      <c r="AGE7" s="182"/>
      <c r="AGF7" s="182"/>
      <c r="AGG7" s="182"/>
      <c r="AGH7" s="182"/>
      <c r="AGI7" s="182"/>
      <c r="AGJ7" s="182"/>
      <c r="AGK7" s="182"/>
      <c r="AGL7" s="182"/>
      <c r="AGM7" s="182"/>
      <c r="AGN7" s="182"/>
      <c r="AGO7" s="182"/>
      <c r="AGP7" s="182"/>
      <c r="AGQ7" s="182"/>
      <c r="AGR7" s="182"/>
      <c r="AGS7" s="182"/>
      <c r="AGT7" s="182"/>
      <c r="AGU7" s="182"/>
      <c r="AGV7" s="182"/>
      <c r="AGW7" s="182"/>
      <c r="AGX7" s="182"/>
      <c r="AGY7" s="182"/>
      <c r="AGZ7" s="182"/>
      <c r="AHA7" s="182"/>
      <c r="AHB7" s="182"/>
      <c r="AHC7" s="182"/>
      <c r="AHD7" s="182"/>
      <c r="AHE7" s="182"/>
      <c r="AHF7" s="182"/>
      <c r="AHG7" s="182"/>
      <c r="AHH7" s="182"/>
      <c r="AHI7" s="182"/>
      <c r="AHJ7" s="182"/>
      <c r="AHK7" s="182"/>
      <c r="AHL7" s="182"/>
      <c r="AHM7" s="182"/>
      <c r="AHN7" s="182"/>
      <c r="AHO7" s="182"/>
      <c r="AHP7" s="182"/>
      <c r="AHQ7" s="182"/>
      <c r="AHR7" s="182"/>
      <c r="AHS7" s="182"/>
      <c r="AHT7" s="182"/>
      <c r="AHU7" s="182"/>
      <c r="AHV7" s="182"/>
      <c r="AHW7" s="182"/>
      <c r="AHX7" s="182"/>
      <c r="AHY7" s="182"/>
      <c r="AHZ7" s="182"/>
      <c r="AIA7" s="182"/>
      <c r="AIB7" s="182"/>
      <c r="AIC7" s="182"/>
      <c r="AID7" s="182"/>
      <c r="AIE7" s="182"/>
      <c r="AIF7" s="182"/>
      <c r="AIG7" s="182"/>
      <c r="AIH7" s="182"/>
      <c r="AII7" s="182"/>
    </row>
    <row r="8" spans="1:919" s="183" customFormat="1" ht="15.75" customHeight="1">
      <c r="A8" s="180"/>
      <c r="B8" s="180"/>
      <c r="C8" s="180"/>
      <c r="D8" s="180"/>
      <c r="E8" s="387" t="s">
        <v>2080</v>
      </c>
      <c r="F8" s="376"/>
      <c r="G8" s="376"/>
      <c r="H8" s="375"/>
      <c r="I8" s="372"/>
      <c r="J8" s="388" t="s">
        <v>14</v>
      </c>
      <c r="K8" s="182"/>
      <c r="L8" s="182"/>
      <c r="M8" s="182"/>
      <c r="N8" s="182"/>
      <c r="O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/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/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/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/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/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82"/>
      <c r="PU8" s="182"/>
      <c r="PV8" s="182"/>
      <c r="PW8" s="182"/>
      <c r="PX8" s="182"/>
      <c r="PY8" s="182"/>
      <c r="PZ8" s="182"/>
      <c r="QA8" s="182"/>
      <c r="QB8" s="182"/>
      <c r="QC8" s="182"/>
      <c r="QD8" s="182"/>
      <c r="QE8" s="182"/>
      <c r="QF8" s="182"/>
      <c r="QG8" s="182"/>
      <c r="QH8" s="182"/>
      <c r="QI8" s="182"/>
      <c r="QJ8" s="182"/>
      <c r="QK8" s="182"/>
      <c r="QL8" s="182"/>
      <c r="QM8" s="182"/>
      <c r="QN8" s="182"/>
      <c r="QO8" s="182"/>
      <c r="QP8" s="182"/>
      <c r="QQ8" s="182"/>
      <c r="QR8" s="182"/>
      <c r="QS8" s="182"/>
      <c r="QT8" s="182"/>
      <c r="QU8" s="182"/>
      <c r="QV8" s="182"/>
      <c r="QW8" s="182"/>
      <c r="QX8" s="182"/>
      <c r="QY8" s="182"/>
      <c r="QZ8" s="182"/>
      <c r="RA8" s="182"/>
      <c r="RB8" s="182"/>
      <c r="RC8" s="182"/>
      <c r="RD8" s="182"/>
      <c r="RE8" s="182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182"/>
      <c r="SN8" s="182"/>
      <c r="SO8" s="182"/>
      <c r="SP8" s="182"/>
      <c r="SQ8" s="182"/>
      <c r="SR8" s="182"/>
      <c r="SS8" s="182"/>
      <c r="ST8" s="182"/>
      <c r="SU8" s="182"/>
      <c r="SV8" s="182"/>
      <c r="SW8" s="182"/>
      <c r="SX8" s="182"/>
      <c r="SY8" s="182"/>
      <c r="SZ8" s="182"/>
      <c r="TA8" s="182"/>
      <c r="TB8" s="182"/>
      <c r="TC8" s="182"/>
      <c r="TD8" s="182"/>
      <c r="TE8" s="182"/>
      <c r="TF8" s="182"/>
      <c r="TG8" s="182"/>
      <c r="TH8" s="182"/>
      <c r="TI8" s="182"/>
      <c r="TJ8" s="182"/>
      <c r="TK8" s="182"/>
      <c r="TL8" s="182"/>
      <c r="TM8" s="182"/>
      <c r="TN8" s="182"/>
      <c r="TO8" s="182"/>
      <c r="TP8" s="182"/>
      <c r="TQ8" s="182"/>
      <c r="TR8" s="182"/>
      <c r="TS8" s="182"/>
      <c r="TT8" s="182"/>
      <c r="TU8" s="182"/>
      <c r="TV8" s="182"/>
      <c r="TW8" s="182"/>
      <c r="TX8" s="182"/>
      <c r="TY8" s="182"/>
      <c r="TZ8" s="182"/>
      <c r="UA8" s="182"/>
      <c r="UB8" s="182"/>
      <c r="UC8" s="182"/>
      <c r="UD8" s="182"/>
      <c r="UE8" s="182"/>
      <c r="UF8" s="182"/>
      <c r="UG8" s="182"/>
      <c r="UH8" s="182"/>
      <c r="UI8" s="182"/>
      <c r="UJ8" s="182"/>
      <c r="UK8" s="182"/>
      <c r="UL8" s="182"/>
      <c r="UM8" s="182"/>
      <c r="UN8" s="182"/>
      <c r="UO8" s="182"/>
      <c r="UP8" s="182"/>
      <c r="UQ8" s="182"/>
      <c r="UR8" s="182"/>
      <c r="US8" s="182"/>
      <c r="UT8" s="182"/>
      <c r="UU8" s="182"/>
      <c r="UV8" s="182"/>
      <c r="UW8" s="182"/>
      <c r="UX8" s="182"/>
      <c r="UY8" s="182"/>
      <c r="UZ8" s="182"/>
      <c r="VA8" s="182"/>
      <c r="VB8" s="182"/>
      <c r="VC8" s="182"/>
      <c r="VD8" s="182"/>
      <c r="VE8" s="182"/>
      <c r="VF8" s="182"/>
      <c r="VG8" s="182"/>
      <c r="VH8" s="182"/>
      <c r="VI8" s="182"/>
      <c r="VJ8" s="182"/>
      <c r="VK8" s="182"/>
      <c r="VL8" s="182"/>
      <c r="VM8" s="182"/>
      <c r="VN8" s="182"/>
      <c r="VO8" s="182"/>
      <c r="VP8" s="182"/>
      <c r="VQ8" s="182"/>
      <c r="VR8" s="182"/>
      <c r="VS8" s="182"/>
      <c r="VT8" s="182"/>
      <c r="VU8" s="182"/>
      <c r="VV8" s="182"/>
      <c r="VW8" s="182"/>
      <c r="VX8" s="182"/>
      <c r="VY8" s="182"/>
      <c r="VZ8" s="182"/>
      <c r="WA8" s="182"/>
      <c r="WB8" s="182"/>
      <c r="WC8" s="182"/>
      <c r="WD8" s="182"/>
      <c r="WE8" s="182"/>
      <c r="WF8" s="182"/>
      <c r="WG8" s="182"/>
      <c r="WH8" s="182"/>
      <c r="WI8" s="182"/>
      <c r="WJ8" s="182"/>
      <c r="WK8" s="182"/>
      <c r="WL8" s="182"/>
      <c r="WM8" s="182"/>
      <c r="WN8" s="182"/>
      <c r="WO8" s="182"/>
      <c r="WP8" s="182"/>
      <c r="WQ8" s="182"/>
      <c r="WR8" s="182"/>
      <c r="WS8" s="182"/>
      <c r="WT8" s="182"/>
      <c r="WU8" s="182"/>
      <c r="WV8" s="182"/>
      <c r="WW8" s="182"/>
      <c r="WX8" s="182"/>
      <c r="WY8" s="182"/>
      <c r="WZ8" s="182"/>
      <c r="XA8" s="182"/>
      <c r="XB8" s="182"/>
      <c r="XC8" s="182"/>
      <c r="XD8" s="182"/>
      <c r="XE8" s="182"/>
      <c r="XF8" s="182"/>
      <c r="XG8" s="182"/>
      <c r="XH8" s="182"/>
      <c r="XI8" s="182"/>
      <c r="XJ8" s="182"/>
      <c r="XK8" s="182"/>
      <c r="XL8" s="182"/>
      <c r="XM8" s="182"/>
      <c r="XN8" s="182"/>
      <c r="XO8" s="182"/>
      <c r="XP8" s="182"/>
      <c r="XQ8" s="182"/>
      <c r="XR8" s="182"/>
      <c r="XS8" s="182"/>
      <c r="XT8" s="182"/>
      <c r="XU8" s="182"/>
      <c r="XV8" s="182"/>
      <c r="XW8" s="182"/>
      <c r="XX8" s="182"/>
      <c r="XY8" s="182"/>
      <c r="XZ8" s="182"/>
      <c r="YA8" s="182"/>
      <c r="YB8" s="182"/>
      <c r="YC8" s="182"/>
      <c r="YD8" s="182"/>
      <c r="YE8" s="182"/>
      <c r="YF8" s="182"/>
      <c r="YG8" s="182"/>
      <c r="YH8" s="182"/>
      <c r="YI8" s="182"/>
      <c r="YJ8" s="182"/>
      <c r="YK8" s="182"/>
      <c r="YL8" s="182"/>
      <c r="YM8" s="182"/>
      <c r="YN8" s="182"/>
      <c r="YO8" s="182"/>
      <c r="YP8" s="182"/>
      <c r="YQ8" s="182"/>
      <c r="YR8" s="182"/>
      <c r="YS8" s="182"/>
      <c r="YT8" s="182"/>
      <c r="YU8" s="182"/>
      <c r="YV8" s="182"/>
      <c r="YW8" s="182"/>
      <c r="YX8" s="182"/>
      <c r="YY8" s="182"/>
      <c r="YZ8" s="182"/>
      <c r="ZA8" s="182"/>
      <c r="ZB8" s="182"/>
      <c r="ZC8" s="182"/>
      <c r="ZD8" s="182"/>
      <c r="ZE8" s="182"/>
      <c r="ZF8" s="182"/>
      <c r="ZG8" s="182"/>
      <c r="ZH8" s="182"/>
      <c r="ZI8" s="182"/>
      <c r="ZJ8" s="182"/>
      <c r="ZK8" s="182"/>
      <c r="ZL8" s="182"/>
      <c r="ZM8" s="182"/>
      <c r="ZN8" s="182"/>
      <c r="ZO8" s="182"/>
      <c r="ZP8" s="182"/>
      <c r="ZQ8" s="182"/>
      <c r="ZR8" s="182"/>
      <c r="ZS8" s="182"/>
      <c r="ZT8" s="182"/>
      <c r="ZU8" s="182"/>
      <c r="ZV8" s="182"/>
      <c r="ZW8" s="182"/>
      <c r="ZX8" s="182"/>
      <c r="ZY8" s="182"/>
      <c r="ZZ8" s="182"/>
      <c r="AAA8" s="182"/>
      <c r="AAB8" s="182"/>
      <c r="AAC8" s="182"/>
      <c r="AAD8" s="182"/>
      <c r="AAE8" s="182"/>
      <c r="AAF8" s="182"/>
      <c r="AAG8" s="182"/>
      <c r="AAH8" s="182"/>
      <c r="AAI8" s="182"/>
      <c r="AAJ8" s="182"/>
      <c r="AAK8" s="182"/>
      <c r="AAL8" s="182"/>
      <c r="AAM8" s="182"/>
      <c r="AAN8" s="182"/>
      <c r="AAO8" s="182"/>
      <c r="AAP8" s="182"/>
      <c r="AAQ8" s="182"/>
      <c r="AAR8" s="182"/>
      <c r="AAS8" s="182"/>
      <c r="AAT8" s="182"/>
      <c r="AAU8" s="182"/>
      <c r="AAV8" s="182"/>
      <c r="AAW8" s="182"/>
      <c r="AAX8" s="182"/>
      <c r="AAY8" s="182"/>
      <c r="AAZ8" s="182"/>
      <c r="ABA8" s="182"/>
      <c r="ABB8" s="182"/>
      <c r="ABC8" s="182"/>
      <c r="ABD8" s="182"/>
      <c r="ABE8" s="182"/>
      <c r="ABF8" s="182"/>
      <c r="ABG8" s="182"/>
      <c r="ABH8" s="182"/>
      <c r="ABI8" s="182"/>
      <c r="ABJ8" s="182"/>
      <c r="ABK8" s="182"/>
      <c r="ABL8" s="182"/>
      <c r="ABM8" s="182"/>
      <c r="ABN8" s="182"/>
      <c r="ABO8" s="182"/>
      <c r="ABP8" s="182"/>
      <c r="ABQ8" s="182"/>
      <c r="ABR8" s="182"/>
      <c r="ABS8" s="182"/>
      <c r="ABT8" s="182"/>
      <c r="ABU8" s="182"/>
      <c r="ABV8" s="182"/>
      <c r="ABW8" s="182"/>
      <c r="ABX8" s="182"/>
      <c r="ABY8" s="182"/>
      <c r="ABZ8" s="182"/>
      <c r="ACA8" s="182"/>
      <c r="ACB8" s="182"/>
      <c r="ACC8" s="182"/>
      <c r="ACD8" s="182"/>
      <c r="ACE8" s="182"/>
      <c r="ACF8" s="182"/>
      <c r="ACG8" s="182"/>
      <c r="ACH8" s="182"/>
      <c r="ACI8" s="182"/>
      <c r="ACJ8" s="182"/>
      <c r="ACK8" s="182"/>
      <c r="ACL8" s="182"/>
      <c r="ACM8" s="182"/>
      <c r="ACN8" s="182"/>
      <c r="ACO8" s="182"/>
      <c r="ACP8" s="182"/>
      <c r="ACQ8" s="182"/>
      <c r="ACR8" s="182"/>
      <c r="ACS8" s="182"/>
      <c r="ACT8" s="182"/>
      <c r="ACU8" s="182"/>
      <c r="ACV8" s="182"/>
      <c r="ACW8" s="182"/>
      <c r="ACX8" s="182"/>
      <c r="ACY8" s="182"/>
      <c r="ACZ8" s="182"/>
      <c r="ADA8" s="182"/>
      <c r="ADB8" s="182"/>
      <c r="ADC8" s="182"/>
      <c r="ADD8" s="182"/>
      <c r="ADE8" s="182"/>
      <c r="ADF8" s="182"/>
      <c r="ADG8" s="182"/>
      <c r="ADH8" s="182"/>
      <c r="ADI8" s="182"/>
      <c r="ADJ8" s="182"/>
      <c r="ADK8" s="182"/>
      <c r="ADL8" s="182"/>
      <c r="ADM8" s="182"/>
      <c r="ADN8" s="182"/>
      <c r="ADO8" s="182"/>
      <c r="ADP8" s="182"/>
      <c r="ADQ8" s="182"/>
      <c r="ADR8" s="182"/>
      <c r="ADS8" s="182"/>
      <c r="ADT8" s="182"/>
      <c r="ADU8" s="182"/>
      <c r="ADV8" s="182"/>
      <c r="ADW8" s="182"/>
      <c r="ADX8" s="182"/>
      <c r="ADY8" s="182"/>
      <c r="ADZ8" s="182"/>
      <c r="AEA8" s="182"/>
      <c r="AEB8" s="182"/>
      <c r="AEC8" s="182"/>
      <c r="AED8" s="182"/>
      <c r="AEE8" s="182"/>
      <c r="AEF8" s="182"/>
      <c r="AEG8" s="182"/>
      <c r="AEH8" s="182"/>
      <c r="AEI8" s="182"/>
      <c r="AEJ8" s="182"/>
      <c r="AEK8" s="182"/>
      <c r="AEL8" s="182"/>
      <c r="AEM8" s="182"/>
      <c r="AEN8" s="182"/>
      <c r="AEO8" s="182"/>
      <c r="AEP8" s="182"/>
      <c r="AEQ8" s="182"/>
      <c r="AER8" s="182"/>
      <c r="AES8" s="182"/>
      <c r="AET8" s="182"/>
      <c r="AEU8" s="182"/>
      <c r="AEV8" s="182"/>
      <c r="AEW8" s="182"/>
      <c r="AEX8" s="182"/>
      <c r="AEY8" s="182"/>
      <c r="AEZ8" s="182"/>
      <c r="AFA8" s="182"/>
      <c r="AFB8" s="182"/>
      <c r="AFC8" s="182"/>
      <c r="AFD8" s="182"/>
      <c r="AFE8" s="182"/>
      <c r="AFF8" s="182"/>
      <c r="AFG8" s="182"/>
      <c r="AFH8" s="182"/>
      <c r="AFI8" s="182"/>
      <c r="AFJ8" s="182"/>
      <c r="AFK8" s="182"/>
      <c r="AFL8" s="182"/>
      <c r="AFM8" s="182"/>
      <c r="AFN8" s="182"/>
      <c r="AFO8" s="182"/>
      <c r="AFP8" s="182"/>
      <c r="AFQ8" s="182"/>
      <c r="AFR8" s="182"/>
      <c r="AFS8" s="182"/>
      <c r="AFT8" s="182"/>
      <c r="AFU8" s="182"/>
      <c r="AFV8" s="182"/>
      <c r="AFW8" s="182"/>
      <c r="AFX8" s="182"/>
      <c r="AFY8" s="182"/>
      <c r="AFZ8" s="182"/>
      <c r="AGA8" s="182"/>
      <c r="AGB8" s="182"/>
      <c r="AGC8" s="182"/>
      <c r="AGD8" s="182"/>
      <c r="AGE8" s="182"/>
      <c r="AGF8" s="182"/>
      <c r="AGG8" s="182"/>
      <c r="AGH8" s="182"/>
      <c r="AGI8" s="182"/>
      <c r="AGJ8" s="182"/>
      <c r="AGK8" s="182"/>
      <c r="AGL8" s="182"/>
      <c r="AGM8" s="182"/>
      <c r="AGN8" s="182"/>
      <c r="AGO8" s="182"/>
      <c r="AGP8" s="182"/>
      <c r="AGQ8" s="182"/>
      <c r="AGR8" s="182"/>
      <c r="AGS8" s="182"/>
      <c r="AGT8" s="182"/>
      <c r="AGU8" s="182"/>
      <c r="AGV8" s="182"/>
      <c r="AGW8" s="182"/>
      <c r="AGX8" s="182"/>
      <c r="AGY8" s="182"/>
      <c r="AGZ8" s="182"/>
      <c r="AHA8" s="182"/>
      <c r="AHB8" s="182"/>
      <c r="AHC8" s="182"/>
      <c r="AHD8" s="182"/>
      <c r="AHE8" s="182"/>
      <c r="AHF8" s="182"/>
      <c r="AHG8" s="182"/>
      <c r="AHH8" s="182"/>
      <c r="AHI8" s="182"/>
      <c r="AHJ8" s="182"/>
      <c r="AHK8" s="182"/>
      <c r="AHL8" s="182"/>
      <c r="AHM8" s="182"/>
      <c r="AHN8" s="182"/>
      <c r="AHO8" s="182"/>
      <c r="AHP8" s="182"/>
      <c r="AHQ8" s="182"/>
      <c r="AHR8" s="182"/>
      <c r="AHS8" s="182"/>
      <c r="AHT8" s="182"/>
      <c r="AHU8" s="182"/>
      <c r="AHV8" s="182"/>
      <c r="AHW8" s="182"/>
      <c r="AHX8" s="182"/>
      <c r="AHY8" s="182"/>
      <c r="AHZ8" s="182"/>
      <c r="AIA8" s="182"/>
      <c r="AIB8" s="182"/>
      <c r="AIC8" s="182"/>
      <c r="AID8" s="182"/>
      <c r="AIE8" s="182"/>
      <c r="AIF8" s="182"/>
      <c r="AIG8" s="182"/>
      <c r="AIH8" s="182"/>
      <c r="AII8" s="182"/>
    </row>
    <row r="9" spans="1:919" s="183" customFormat="1" ht="15.75" customHeight="1">
      <c r="A9" s="180"/>
      <c r="B9" s="180"/>
      <c r="C9" s="180"/>
      <c r="D9" s="180"/>
      <c r="E9" s="366" t="str">
        <f>IF(OsnPodaci!D7="","",OsnPodaci!D7)</f>
        <v>zjp-031-10</v>
      </c>
      <c r="F9" s="376"/>
      <c r="G9" s="376"/>
      <c r="H9" s="375"/>
      <c r="I9" s="372"/>
      <c r="J9" s="373" t="str">
        <f>IF(OsnPodaci!A23="","",OsnPodaci!A23)</f>
        <v>1610000031640053</v>
      </c>
      <c r="K9" s="182"/>
      <c r="L9" s="182"/>
      <c r="M9" s="182"/>
      <c r="N9" s="182"/>
      <c r="O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</row>
    <row r="10" spans="1:919" s="183" customFormat="1" ht="15" customHeight="1">
      <c r="A10" s="180"/>
      <c r="B10" s="180"/>
      <c r="C10" s="180"/>
      <c r="D10" s="180"/>
      <c r="E10" s="387" t="s">
        <v>1937</v>
      </c>
      <c r="F10" s="376"/>
      <c r="G10" s="375"/>
      <c r="H10" s="375"/>
      <c r="I10" s="372"/>
      <c r="J10" s="388" t="s">
        <v>1949</v>
      </c>
      <c r="K10" s="182"/>
      <c r="L10" s="182"/>
      <c r="M10" s="182"/>
      <c r="N10" s="182"/>
      <c r="O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  <c r="PY10" s="182"/>
      <c r="PZ10" s="182"/>
      <c r="QA10" s="182"/>
      <c r="QB10" s="182"/>
      <c r="QC10" s="182"/>
      <c r="QD10" s="182"/>
      <c r="QE10" s="182"/>
      <c r="QF10" s="182"/>
      <c r="QG10" s="182"/>
      <c r="QH10" s="182"/>
      <c r="QI10" s="182"/>
      <c r="QJ10" s="182"/>
      <c r="QK10" s="182"/>
      <c r="QL10" s="182"/>
      <c r="QM10" s="182"/>
      <c r="QN10" s="182"/>
      <c r="QO10" s="182"/>
      <c r="QP10" s="182"/>
      <c r="QQ10" s="182"/>
      <c r="QR10" s="182"/>
      <c r="QS10" s="182"/>
      <c r="QT10" s="182"/>
      <c r="QU10" s="182"/>
      <c r="QV10" s="182"/>
      <c r="QW10" s="182"/>
      <c r="QX10" s="182"/>
      <c r="QY10" s="182"/>
      <c r="QZ10" s="182"/>
      <c r="RA10" s="182"/>
      <c r="RB10" s="182"/>
      <c r="RC10" s="182"/>
      <c r="RD10" s="182"/>
      <c r="RE10" s="182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182"/>
      <c r="SN10" s="182"/>
      <c r="SO10" s="182"/>
      <c r="SP10" s="182"/>
      <c r="SQ10" s="182"/>
      <c r="SR10" s="182"/>
      <c r="SS10" s="182"/>
      <c r="ST10" s="182"/>
      <c r="SU10" s="182"/>
      <c r="SV10" s="182"/>
      <c r="SW10" s="182"/>
      <c r="SX10" s="182"/>
      <c r="SY10" s="182"/>
      <c r="SZ10" s="182"/>
      <c r="TA10" s="182"/>
      <c r="TB10" s="182"/>
      <c r="TC10" s="182"/>
      <c r="TD10" s="182"/>
      <c r="TE10" s="182"/>
      <c r="TF10" s="182"/>
      <c r="TG10" s="182"/>
      <c r="TH10" s="182"/>
      <c r="TI10" s="182"/>
      <c r="TJ10" s="182"/>
      <c r="TK10" s="182"/>
      <c r="TL10" s="182"/>
      <c r="TM10" s="182"/>
      <c r="TN10" s="182"/>
      <c r="TO10" s="182"/>
      <c r="TP10" s="182"/>
      <c r="TQ10" s="182"/>
      <c r="TR10" s="182"/>
      <c r="TS10" s="182"/>
      <c r="TT10" s="182"/>
      <c r="TU10" s="182"/>
      <c r="TV10" s="182"/>
      <c r="TW10" s="182"/>
      <c r="TX10" s="182"/>
      <c r="TY10" s="182"/>
      <c r="TZ10" s="182"/>
      <c r="UA10" s="182"/>
      <c r="UB10" s="182"/>
      <c r="UC10" s="182"/>
      <c r="UD10" s="182"/>
      <c r="UE10" s="182"/>
      <c r="UF10" s="182"/>
      <c r="UG10" s="182"/>
      <c r="UH10" s="182"/>
      <c r="UI10" s="182"/>
      <c r="UJ10" s="182"/>
      <c r="UK10" s="182"/>
      <c r="UL10" s="182"/>
      <c r="UM10" s="182"/>
      <c r="UN10" s="182"/>
      <c r="UO10" s="182"/>
      <c r="UP10" s="182"/>
      <c r="UQ10" s="182"/>
      <c r="UR10" s="182"/>
      <c r="US10" s="182"/>
      <c r="UT10" s="182"/>
      <c r="UU10" s="182"/>
      <c r="UV10" s="182"/>
      <c r="UW10" s="182"/>
      <c r="UX10" s="182"/>
      <c r="UY10" s="182"/>
      <c r="UZ10" s="182"/>
      <c r="VA10" s="182"/>
      <c r="VB10" s="182"/>
      <c r="VC10" s="182"/>
      <c r="VD10" s="182"/>
      <c r="VE10" s="182"/>
      <c r="VF10" s="182"/>
      <c r="VG10" s="182"/>
      <c r="VH10" s="182"/>
      <c r="VI10" s="182"/>
      <c r="VJ10" s="182"/>
      <c r="VK10" s="182"/>
      <c r="VL10" s="182"/>
      <c r="VM10" s="182"/>
      <c r="VN10" s="182"/>
      <c r="VO10" s="182"/>
      <c r="VP10" s="182"/>
      <c r="VQ10" s="182"/>
      <c r="VR10" s="182"/>
      <c r="VS10" s="182"/>
      <c r="VT10" s="182"/>
      <c r="VU10" s="182"/>
      <c r="VV10" s="182"/>
      <c r="VW10" s="182"/>
      <c r="VX10" s="182"/>
      <c r="VY10" s="182"/>
      <c r="VZ10" s="182"/>
      <c r="WA10" s="182"/>
      <c r="WB10" s="182"/>
      <c r="WC10" s="182"/>
      <c r="WD10" s="182"/>
      <c r="WE10" s="182"/>
      <c r="WF10" s="182"/>
      <c r="WG10" s="182"/>
      <c r="WH10" s="182"/>
      <c r="WI10" s="182"/>
      <c r="WJ10" s="182"/>
      <c r="WK10" s="182"/>
      <c r="WL10" s="182"/>
      <c r="WM10" s="182"/>
      <c r="WN10" s="182"/>
      <c r="WO10" s="182"/>
      <c r="WP10" s="182"/>
      <c r="WQ10" s="182"/>
      <c r="WR10" s="182"/>
      <c r="WS10" s="182"/>
      <c r="WT10" s="182"/>
      <c r="WU10" s="182"/>
      <c r="WV10" s="182"/>
      <c r="WW10" s="182"/>
      <c r="WX10" s="182"/>
      <c r="WY10" s="182"/>
      <c r="WZ10" s="182"/>
      <c r="XA10" s="182"/>
      <c r="XB10" s="182"/>
      <c r="XC10" s="182"/>
      <c r="XD10" s="182"/>
      <c r="XE10" s="182"/>
      <c r="XF10" s="182"/>
      <c r="XG10" s="182"/>
      <c r="XH10" s="182"/>
      <c r="XI10" s="182"/>
      <c r="XJ10" s="182"/>
      <c r="XK10" s="182"/>
      <c r="XL10" s="182"/>
      <c r="XM10" s="182"/>
      <c r="XN10" s="182"/>
      <c r="XO10" s="182"/>
      <c r="XP10" s="182"/>
      <c r="XQ10" s="182"/>
      <c r="XR10" s="182"/>
      <c r="XS10" s="182"/>
      <c r="XT10" s="182"/>
      <c r="XU10" s="182"/>
      <c r="XV10" s="182"/>
      <c r="XW10" s="182"/>
      <c r="XX10" s="182"/>
      <c r="XY10" s="182"/>
      <c r="XZ10" s="182"/>
      <c r="YA10" s="182"/>
      <c r="YB10" s="182"/>
      <c r="YC10" s="182"/>
      <c r="YD10" s="182"/>
      <c r="YE10" s="182"/>
      <c r="YF10" s="182"/>
      <c r="YG10" s="182"/>
      <c r="YH10" s="182"/>
      <c r="YI10" s="182"/>
      <c r="YJ10" s="182"/>
      <c r="YK10" s="182"/>
      <c r="YL10" s="182"/>
      <c r="YM10" s="182"/>
      <c r="YN10" s="182"/>
      <c r="YO10" s="182"/>
      <c r="YP10" s="182"/>
      <c r="YQ10" s="182"/>
      <c r="YR10" s="182"/>
      <c r="YS10" s="182"/>
      <c r="YT10" s="182"/>
      <c r="YU10" s="182"/>
      <c r="YV10" s="182"/>
      <c r="YW10" s="182"/>
      <c r="YX10" s="182"/>
      <c r="YY10" s="182"/>
      <c r="YZ10" s="182"/>
      <c r="ZA10" s="182"/>
      <c r="ZB10" s="182"/>
      <c r="ZC10" s="182"/>
      <c r="ZD10" s="182"/>
      <c r="ZE10" s="182"/>
      <c r="ZF10" s="182"/>
      <c r="ZG10" s="182"/>
      <c r="ZH10" s="182"/>
      <c r="ZI10" s="182"/>
      <c r="ZJ10" s="182"/>
      <c r="ZK10" s="182"/>
      <c r="ZL10" s="182"/>
      <c r="ZM10" s="182"/>
      <c r="ZN10" s="182"/>
      <c r="ZO10" s="182"/>
      <c r="ZP10" s="182"/>
      <c r="ZQ10" s="182"/>
      <c r="ZR10" s="182"/>
      <c r="ZS10" s="182"/>
      <c r="ZT10" s="182"/>
      <c r="ZU10" s="182"/>
      <c r="ZV10" s="182"/>
      <c r="ZW10" s="182"/>
      <c r="ZX10" s="182"/>
      <c r="ZY10" s="182"/>
      <c r="ZZ10" s="182"/>
      <c r="AAA10" s="182"/>
      <c r="AAB10" s="182"/>
      <c r="AAC10" s="182"/>
      <c r="AAD10" s="182"/>
      <c r="AAE10" s="182"/>
      <c r="AAF10" s="182"/>
      <c r="AAG10" s="182"/>
      <c r="AAH10" s="182"/>
      <c r="AAI10" s="182"/>
      <c r="AAJ10" s="182"/>
      <c r="AAK10" s="182"/>
      <c r="AAL10" s="182"/>
      <c r="AAM10" s="182"/>
      <c r="AAN10" s="182"/>
      <c r="AAO10" s="182"/>
      <c r="AAP10" s="182"/>
      <c r="AAQ10" s="182"/>
      <c r="AAR10" s="182"/>
      <c r="AAS10" s="182"/>
      <c r="AAT10" s="182"/>
      <c r="AAU10" s="182"/>
      <c r="AAV10" s="182"/>
      <c r="AAW10" s="182"/>
      <c r="AAX10" s="182"/>
      <c r="AAY10" s="182"/>
      <c r="AAZ10" s="182"/>
      <c r="ABA10" s="182"/>
      <c r="ABB10" s="182"/>
      <c r="ABC10" s="182"/>
      <c r="ABD10" s="182"/>
      <c r="ABE10" s="182"/>
      <c r="ABF10" s="182"/>
      <c r="ABG10" s="182"/>
      <c r="ABH10" s="182"/>
      <c r="ABI10" s="182"/>
      <c r="ABJ10" s="182"/>
      <c r="ABK10" s="182"/>
      <c r="ABL10" s="182"/>
      <c r="ABM10" s="182"/>
      <c r="ABN10" s="182"/>
      <c r="ABO10" s="182"/>
      <c r="ABP10" s="182"/>
      <c r="ABQ10" s="182"/>
      <c r="ABR10" s="182"/>
      <c r="ABS10" s="182"/>
      <c r="ABT10" s="182"/>
      <c r="ABU10" s="182"/>
      <c r="ABV10" s="182"/>
      <c r="ABW10" s="182"/>
      <c r="ABX10" s="182"/>
      <c r="ABY10" s="182"/>
      <c r="ABZ10" s="182"/>
      <c r="ACA10" s="182"/>
      <c r="ACB10" s="182"/>
      <c r="ACC10" s="182"/>
      <c r="ACD10" s="182"/>
      <c r="ACE10" s="182"/>
      <c r="ACF10" s="182"/>
      <c r="ACG10" s="182"/>
      <c r="ACH10" s="182"/>
      <c r="ACI10" s="182"/>
      <c r="ACJ10" s="182"/>
      <c r="ACK10" s="182"/>
      <c r="ACL10" s="182"/>
      <c r="ACM10" s="182"/>
      <c r="ACN10" s="182"/>
      <c r="ACO10" s="182"/>
      <c r="ACP10" s="182"/>
      <c r="ACQ10" s="182"/>
      <c r="ACR10" s="182"/>
      <c r="ACS10" s="182"/>
      <c r="ACT10" s="182"/>
      <c r="ACU10" s="182"/>
      <c r="ACV10" s="182"/>
      <c r="ACW10" s="182"/>
      <c r="ACX10" s="182"/>
      <c r="ACY10" s="182"/>
      <c r="ACZ10" s="182"/>
      <c r="ADA10" s="182"/>
      <c r="ADB10" s="182"/>
      <c r="ADC10" s="182"/>
      <c r="ADD10" s="182"/>
      <c r="ADE10" s="182"/>
      <c r="ADF10" s="182"/>
      <c r="ADG10" s="182"/>
      <c r="ADH10" s="182"/>
      <c r="ADI10" s="182"/>
      <c r="ADJ10" s="182"/>
      <c r="ADK10" s="182"/>
      <c r="ADL10" s="182"/>
      <c r="ADM10" s="182"/>
      <c r="ADN10" s="182"/>
      <c r="ADO10" s="182"/>
      <c r="ADP10" s="182"/>
      <c r="ADQ10" s="182"/>
      <c r="ADR10" s="182"/>
      <c r="ADS10" s="182"/>
      <c r="ADT10" s="182"/>
      <c r="ADU10" s="182"/>
      <c r="ADV10" s="182"/>
      <c r="ADW10" s="182"/>
      <c r="ADX10" s="182"/>
      <c r="ADY10" s="182"/>
      <c r="ADZ10" s="182"/>
      <c r="AEA10" s="182"/>
      <c r="AEB10" s="182"/>
      <c r="AEC10" s="182"/>
      <c r="AED10" s="182"/>
      <c r="AEE10" s="182"/>
      <c r="AEF10" s="182"/>
      <c r="AEG10" s="182"/>
      <c r="AEH10" s="182"/>
      <c r="AEI10" s="182"/>
      <c r="AEJ10" s="182"/>
      <c r="AEK10" s="182"/>
      <c r="AEL10" s="182"/>
      <c r="AEM10" s="182"/>
      <c r="AEN10" s="182"/>
      <c r="AEO10" s="182"/>
      <c r="AEP10" s="182"/>
      <c r="AEQ10" s="182"/>
      <c r="AER10" s="182"/>
      <c r="AES10" s="182"/>
      <c r="AET10" s="182"/>
      <c r="AEU10" s="182"/>
      <c r="AEV10" s="182"/>
      <c r="AEW10" s="182"/>
      <c r="AEX10" s="182"/>
      <c r="AEY10" s="182"/>
      <c r="AEZ10" s="182"/>
      <c r="AFA10" s="182"/>
      <c r="AFB10" s="182"/>
      <c r="AFC10" s="182"/>
      <c r="AFD10" s="182"/>
      <c r="AFE10" s="182"/>
      <c r="AFF10" s="182"/>
      <c r="AFG10" s="182"/>
      <c r="AFH10" s="182"/>
      <c r="AFI10" s="182"/>
      <c r="AFJ10" s="182"/>
      <c r="AFK10" s="182"/>
      <c r="AFL10" s="182"/>
      <c r="AFM10" s="182"/>
      <c r="AFN10" s="182"/>
      <c r="AFO10" s="182"/>
      <c r="AFP10" s="182"/>
      <c r="AFQ10" s="182"/>
      <c r="AFR10" s="182"/>
      <c r="AFS10" s="182"/>
      <c r="AFT10" s="182"/>
      <c r="AFU10" s="182"/>
      <c r="AFV10" s="182"/>
      <c r="AFW10" s="182"/>
      <c r="AFX10" s="182"/>
      <c r="AFY10" s="182"/>
      <c r="AFZ10" s="182"/>
      <c r="AGA10" s="182"/>
      <c r="AGB10" s="182"/>
      <c r="AGC10" s="182"/>
      <c r="AGD10" s="182"/>
      <c r="AGE10" s="182"/>
      <c r="AGF10" s="182"/>
      <c r="AGG10" s="182"/>
      <c r="AGH10" s="182"/>
      <c r="AGI10" s="182"/>
      <c r="AGJ10" s="182"/>
      <c r="AGK10" s="182"/>
      <c r="AGL10" s="182"/>
      <c r="AGM10" s="182"/>
      <c r="AGN10" s="182"/>
      <c r="AGO10" s="182"/>
      <c r="AGP10" s="182"/>
      <c r="AGQ10" s="182"/>
      <c r="AGR10" s="182"/>
      <c r="AGS10" s="182"/>
      <c r="AGT10" s="182"/>
      <c r="AGU10" s="182"/>
      <c r="AGV10" s="182"/>
      <c r="AGW10" s="182"/>
      <c r="AGX10" s="182"/>
      <c r="AGY10" s="182"/>
      <c r="AGZ10" s="182"/>
      <c r="AHA10" s="182"/>
      <c r="AHB10" s="182"/>
      <c r="AHC10" s="182"/>
      <c r="AHD10" s="182"/>
      <c r="AHE10" s="182"/>
      <c r="AHF10" s="182"/>
      <c r="AHG10" s="182"/>
      <c r="AHH10" s="182"/>
      <c r="AHI10" s="182"/>
      <c r="AHJ10" s="182"/>
      <c r="AHK10" s="182"/>
      <c r="AHL10" s="182"/>
      <c r="AHM10" s="182"/>
      <c r="AHN10" s="182"/>
      <c r="AHO10" s="182"/>
      <c r="AHP10" s="182"/>
      <c r="AHQ10" s="182"/>
      <c r="AHR10" s="182"/>
      <c r="AHS10" s="182"/>
      <c r="AHT10" s="182"/>
      <c r="AHU10" s="182"/>
      <c r="AHV10" s="182"/>
      <c r="AHW10" s="182"/>
      <c r="AHX10" s="182"/>
      <c r="AHY10" s="182"/>
      <c r="AHZ10" s="182"/>
      <c r="AIA10" s="182"/>
      <c r="AIB10" s="182"/>
      <c r="AIC10" s="182"/>
      <c r="AID10" s="182"/>
      <c r="AIE10" s="182"/>
      <c r="AIF10" s="182"/>
      <c r="AIG10" s="182"/>
      <c r="AIH10" s="182"/>
      <c r="AII10" s="182"/>
    </row>
    <row r="11" spans="1:919" s="183" customFormat="1" ht="15" customHeight="1">
      <c r="A11" s="180"/>
      <c r="B11" s="180"/>
      <c r="C11" s="180"/>
      <c r="D11" s="180"/>
      <c r="E11" s="366" t="str">
        <f>IF(AND(OsnPodaci!A16="DA",LEN(OsnPodaci!B16)=12),OsnPodaci!B16,"-")</f>
        <v>-</v>
      </c>
      <c r="F11" s="376"/>
      <c r="G11" s="375"/>
      <c r="H11" s="375"/>
      <c r="I11" s="372"/>
      <c r="K11" s="182"/>
      <c r="L11" s="182"/>
      <c r="M11" s="182"/>
      <c r="N11" s="182"/>
      <c r="O11" s="182"/>
      <c r="P11" s="184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82"/>
      <c r="QR11" s="182"/>
      <c r="QS11" s="182"/>
      <c r="QT11" s="182"/>
      <c r="QU11" s="182"/>
      <c r="QV11" s="182"/>
      <c r="QW11" s="182"/>
      <c r="QX11" s="182"/>
      <c r="QY11" s="182"/>
      <c r="QZ11" s="182"/>
      <c r="RA11" s="182"/>
      <c r="RB11" s="182"/>
      <c r="RC11" s="182"/>
      <c r="RD11" s="182"/>
      <c r="RE11" s="182"/>
      <c r="RF11" s="182"/>
      <c r="RG11" s="182"/>
      <c r="RH11" s="182"/>
      <c r="RI11" s="182"/>
      <c r="RJ11" s="182"/>
      <c r="RK11" s="182"/>
      <c r="RL11" s="182"/>
      <c r="RM11" s="182"/>
      <c r="RN11" s="182"/>
      <c r="RO11" s="182"/>
      <c r="RP11" s="182"/>
      <c r="RQ11" s="182"/>
      <c r="RR11" s="182"/>
      <c r="RS11" s="182"/>
      <c r="RT11" s="182"/>
      <c r="RU11" s="182"/>
      <c r="RV11" s="182"/>
      <c r="RW11" s="182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182"/>
      <c r="TO11" s="182"/>
      <c r="TP11" s="182"/>
      <c r="TQ11" s="182"/>
      <c r="TR11" s="182"/>
      <c r="TS11" s="182"/>
      <c r="TT11" s="182"/>
      <c r="TU11" s="182"/>
      <c r="TV11" s="182"/>
      <c r="TW11" s="182"/>
      <c r="TX11" s="182"/>
      <c r="TY11" s="182"/>
      <c r="TZ11" s="182"/>
      <c r="UA11" s="182"/>
      <c r="UB11" s="182"/>
      <c r="UC11" s="182"/>
      <c r="UD11" s="182"/>
      <c r="UE11" s="182"/>
      <c r="UF11" s="182"/>
      <c r="UG11" s="182"/>
      <c r="UH11" s="182"/>
      <c r="UI11" s="182"/>
      <c r="UJ11" s="182"/>
      <c r="UK11" s="182"/>
      <c r="UL11" s="182"/>
      <c r="UM11" s="182"/>
      <c r="UN11" s="182"/>
      <c r="UO11" s="182"/>
      <c r="UP11" s="182"/>
      <c r="UQ11" s="182"/>
      <c r="UR11" s="182"/>
      <c r="US11" s="182"/>
      <c r="UT11" s="182"/>
      <c r="UU11" s="182"/>
      <c r="UV11" s="182"/>
      <c r="UW11" s="182"/>
      <c r="UX11" s="182"/>
      <c r="UY11" s="182"/>
      <c r="UZ11" s="182"/>
      <c r="VA11" s="182"/>
      <c r="VB11" s="182"/>
      <c r="VC11" s="182"/>
      <c r="VD11" s="182"/>
      <c r="VE11" s="182"/>
      <c r="VF11" s="182"/>
      <c r="VG11" s="182"/>
      <c r="VH11" s="182"/>
      <c r="VI11" s="182"/>
      <c r="VJ11" s="182"/>
      <c r="VK11" s="182"/>
      <c r="VL11" s="182"/>
      <c r="VM11" s="182"/>
      <c r="VN11" s="182"/>
      <c r="VO11" s="182"/>
      <c r="VP11" s="182"/>
      <c r="VQ11" s="182"/>
      <c r="VR11" s="182"/>
      <c r="VS11" s="182"/>
      <c r="VT11" s="182"/>
      <c r="VU11" s="182"/>
      <c r="VV11" s="182"/>
      <c r="VW11" s="182"/>
      <c r="VX11" s="182"/>
      <c r="VY11" s="182"/>
      <c r="VZ11" s="182"/>
      <c r="WA11" s="182"/>
      <c r="WB11" s="182"/>
      <c r="WC11" s="182"/>
      <c r="WD11" s="182"/>
      <c r="WE11" s="182"/>
      <c r="WF11" s="182"/>
      <c r="WG11" s="182"/>
      <c r="WH11" s="182"/>
      <c r="WI11" s="182"/>
      <c r="WJ11" s="182"/>
      <c r="WK11" s="182"/>
      <c r="WL11" s="182"/>
      <c r="WM11" s="182"/>
      <c r="WN11" s="182"/>
      <c r="WO11" s="182"/>
      <c r="WP11" s="182"/>
      <c r="WQ11" s="182"/>
      <c r="WR11" s="182"/>
      <c r="WS11" s="182"/>
      <c r="WT11" s="182"/>
      <c r="WU11" s="182"/>
      <c r="WV11" s="182"/>
      <c r="WW11" s="182"/>
      <c r="WX11" s="182"/>
      <c r="WY11" s="182"/>
      <c r="WZ11" s="182"/>
      <c r="XA11" s="182"/>
      <c r="XB11" s="182"/>
      <c r="XC11" s="182"/>
      <c r="XD11" s="182"/>
      <c r="XE11" s="182"/>
      <c r="XF11" s="182"/>
      <c r="XG11" s="182"/>
      <c r="XH11" s="182"/>
      <c r="XI11" s="182"/>
      <c r="XJ11" s="182"/>
      <c r="XK11" s="182"/>
      <c r="XL11" s="182"/>
      <c r="XM11" s="182"/>
      <c r="XN11" s="182"/>
      <c r="XO11" s="182"/>
      <c r="XP11" s="182"/>
      <c r="XQ11" s="182"/>
      <c r="XR11" s="182"/>
      <c r="XS11" s="182"/>
      <c r="XT11" s="182"/>
      <c r="XU11" s="182"/>
      <c r="XV11" s="182"/>
      <c r="XW11" s="182"/>
      <c r="XX11" s="182"/>
      <c r="XY11" s="182"/>
      <c r="XZ11" s="182"/>
      <c r="YA11" s="182"/>
      <c r="YB11" s="182"/>
      <c r="YC11" s="182"/>
      <c r="YD11" s="182"/>
      <c r="YE11" s="182"/>
      <c r="YF11" s="182"/>
      <c r="YG11" s="182"/>
      <c r="YH11" s="182"/>
      <c r="YI11" s="182"/>
      <c r="YJ11" s="182"/>
      <c r="YK11" s="182"/>
      <c r="YL11" s="182"/>
      <c r="YM11" s="182"/>
      <c r="YN11" s="182"/>
      <c r="YO11" s="182"/>
      <c r="YP11" s="182"/>
      <c r="YQ11" s="182"/>
      <c r="YR11" s="182"/>
      <c r="YS11" s="182"/>
      <c r="YT11" s="182"/>
      <c r="YU11" s="182"/>
      <c r="YV11" s="182"/>
      <c r="YW11" s="182"/>
      <c r="YX11" s="182"/>
      <c r="YY11" s="182"/>
      <c r="YZ11" s="182"/>
      <c r="ZA11" s="182"/>
      <c r="ZB11" s="182"/>
      <c r="ZC11" s="182"/>
      <c r="ZD11" s="182"/>
      <c r="ZE11" s="182"/>
      <c r="ZF11" s="182"/>
      <c r="ZG11" s="182"/>
      <c r="ZH11" s="182"/>
      <c r="ZI11" s="182"/>
      <c r="ZJ11" s="182"/>
      <c r="ZK11" s="182"/>
      <c r="ZL11" s="182"/>
      <c r="ZM11" s="182"/>
      <c r="ZN11" s="182"/>
      <c r="ZO11" s="182"/>
      <c r="ZP11" s="182"/>
      <c r="ZQ11" s="182"/>
      <c r="ZR11" s="182"/>
      <c r="ZS11" s="182"/>
      <c r="ZT11" s="182"/>
      <c r="ZU11" s="182"/>
      <c r="ZV11" s="182"/>
      <c r="ZW11" s="182"/>
      <c r="ZX11" s="182"/>
      <c r="ZY11" s="182"/>
      <c r="ZZ11" s="182"/>
      <c r="AAA11" s="182"/>
      <c r="AAB11" s="182"/>
      <c r="AAC11" s="182"/>
      <c r="AAD11" s="182"/>
      <c r="AAE11" s="182"/>
      <c r="AAF11" s="182"/>
      <c r="AAG11" s="182"/>
      <c r="AAH11" s="182"/>
      <c r="AAI11" s="182"/>
      <c r="AAJ11" s="182"/>
      <c r="AAK11" s="182"/>
      <c r="AAL11" s="182"/>
      <c r="AAM11" s="182"/>
      <c r="AAN11" s="182"/>
      <c r="AAO11" s="182"/>
      <c r="AAP11" s="182"/>
      <c r="AAQ11" s="182"/>
      <c r="AAR11" s="182"/>
      <c r="AAS11" s="182"/>
      <c r="AAT11" s="182"/>
      <c r="AAU11" s="182"/>
      <c r="AAV11" s="182"/>
      <c r="AAW11" s="182"/>
      <c r="AAX11" s="182"/>
      <c r="AAY11" s="182"/>
      <c r="AAZ11" s="182"/>
      <c r="ABA11" s="182"/>
      <c r="ABB11" s="182"/>
      <c r="ABC11" s="182"/>
      <c r="ABD11" s="182"/>
      <c r="ABE11" s="182"/>
      <c r="ABF11" s="182"/>
      <c r="ABG11" s="182"/>
      <c r="ABH11" s="182"/>
      <c r="ABI11" s="182"/>
      <c r="ABJ11" s="182"/>
      <c r="ABK11" s="182"/>
      <c r="ABL11" s="182"/>
      <c r="ABM11" s="182"/>
      <c r="ABN11" s="182"/>
      <c r="ABO11" s="182"/>
      <c r="ABP11" s="182"/>
      <c r="ABQ11" s="182"/>
      <c r="ABR11" s="182"/>
      <c r="ABS11" s="182"/>
      <c r="ABT11" s="182"/>
      <c r="ABU11" s="182"/>
      <c r="ABV11" s="182"/>
      <c r="ABW11" s="182"/>
      <c r="ABX11" s="182"/>
      <c r="ABY11" s="182"/>
      <c r="ABZ11" s="182"/>
      <c r="ACA11" s="182"/>
      <c r="ACB11" s="182"/>
      <c r="ACC11" s="182"/>
      <c r="ACD11" s="182"/>
      <c r="ACE11" s="182"/>
      <c r="ACF11" s="182"/>
      <c r="ACG11" s="182"/>
      <c r="ACH11" s="182"/>
      <c r="ACI11" s="182"/>
      <c r="ACJ11" s="182"/>
      <c r="ACK11" s="182"/>
      <c r="ACL11" s="182"/>
      <c r="ACM11" s="182"/>
      <c r="ACN11" s="182"/>
      <c r="ACO11" s="182"/>
      <c r="ACP11" s="182"/>
      <c r="ACQ11" s="182"/>
      <c r="ACR11" s="182"/>
      <c r="ACS11" s="182"/>
      <c r="ACT11" s="182"/>
      <c r="ACU11" s="182"/>
      <c r="ACV11" s="182"/>
      <c r="ACW11" s="182"/>
      <c r="ACX11" s="182"/>
      <c r="ACY11" s="182"/>
      <c r="ACZ11" s="182"/>
      <c r="ADA11" s="182"/>
      <c r="ADB11" s="182"/>
      <c r="ADC11" s="182"/>
      <c r="ADD11" s="182"/>
      <c r="ADE11" s="182"/>
      <c r="ADF11" s="182"/>
      <c r="ADG11" s="182"/>
      <c r="ADH11" s="182"/>
      <c r="ADI11" s="182"/>
      <c r="ADJ11" s="182"/>
      <c r="ADK11" s="182"/>
      <c r="ADL11" s="182"/>
      <c r="ADM11" s="182"/>
      <c r="ADN11" s="182"/>
      <c r="ADO11" s="182"/>
      <c r="ADP11" s="182"/>
      <c r="ADQ11" s="182"/>
      <c r="ADR11" s="182"/>
      <c r="ADS11" s="182"/>
      <c r="ADT11" s="182"/>
      <c r="ADU11" s="182"/>
      <c r="ADV11" s="182"/>
      <c r="ADW11" s="182"/>
      <c r="ADX11" s="182"/>
      <c r="ADY11" s="182"/>
      <c r="ADZ11" s="182"/>
      <c r="AEA11" s="182"/>
      <c r="AEB11" s="182"/>
      <c r="AEC11" s="182"/>
      <c r="AED11" s="182"/>
      <c r="AEE11" s="182"/>
      <c r="AEF11" s="182"/>
      <c r="AEG11" s="182"/>
      <c r="AEH11" s="182"/>
      <c r="AEI11" s="182"/>
      <c r="AEJ11" s="182"/>
      <c r="AEK11" s="182"/>
      <c r="AEL11" s="182"/>
      <c r="AEM11" s="182"/>
      <c r="AEN11" s="182"/>
      <c r="AEO11" s="182"/>
      <c r="AEP11" s="182"/>
      <c r="AEQ11" s="182"/>
      <c r="AER11" s="182"/>
      <c r="AES11" s="182"/>
      <c r="AET11" s="182"/>
      <c r="AEU11" s="182"/>
      <c r="AEV11" s="182"/>
      <c r="AEW11" s="182"/>
      <c r="AEX11" s="182"/>
      <c r="AEY11" s="182"/>
      <c r="AEZ11" s="182"/>
      <c r="AFA11" s="182"/>
      <c r="AFB11" s="182"/>
      <c r="AFC11" s="182"/>
      <c r="AFD11" s="182"/>
      <c r="AFE11" s="182"/>
      <c r="AFF11" s="182"/>
      <c r="AFG11" s="182"/>
      <c r="AFH11" s="182"/>
      <c r="AFI11" s="182"/>
      <c r="AFJ11" s="182"/>
      <c r="AFK11" s="182"/>
      <c r="AFL11" s="182"/>
      <c r="AFM11" s="182"/>
      <c r="AFN11" s="182"/>
      <c r="AFO11" s="182"/>
      <c r="AFP11" s="182"/>
      <c r="AFQ11" s="182"/>
      <c r="AFR11" s="182"/>
      <c r="AFS11" s="182"/>
      <c r="AFT11" s="182"/>
      <c r="AFU11" s="182"/>
      <c r="AFV11" s="182"/>
      <c r="AFW11" s="182"/>
      <c r="AFX11" s="182"/>
      <c r="AFY11" s="182"/>
      <c r="AFZ11" s="182"/>
      <c r="AGA11" s="182"/>
      <c r="AGB11" s="182"/>
      <c r="AGC11" s="182"/>
      <c r="AGD11" s="182"/>
      <c r="AGE11" s="182"/>
      <c r="AGF11" s="182"/>
      <c r="AGG11" s="182"/>
      <c r="AGH11" s="182"/>
      <c r="AGI11" s="182"/>
      <c r="AGJ11" s="182"/>
      <c r="AGK11" s="182"/>
      <c r="AGL11" s="182"/>
      <c r="AGM11" s="182"/>
      <c r="AGN11" s="182"/>
      <c r="AGO11" s="182"/>
      <c r="AGP11" s="182"/>
      <c r="AGQ11" s="182"/>
      <c r="AGR11" s="182"/>
      <c r="AGS11" s="182"/>
      <c r="AGT11" s="182"/>
      <c r="AGU11" s="182"/>
      <c r="AGV11" s="182"/>
      <c r="AGW11" s="182"/>
      <c r="AGX11" s="182"/>
      <c r="AGY11" s="182"/>
      <c r="AGZ11" s="182"/>
      <c r="AHA11" s="182"/>
      <c r="AHB11" s="182"/>
      <c r="AHC11" s="182"/>
      <c r="AHD11" s="182"/>
      <c r="AHE11" s="182"/>
      <c r="AHF11" s="182"/>
      <c r="AHG11" s="182"/>
      <c r="AHH11" s="182"/>
      <c r="AHI11" s="182"/>
      <c r="AHJ11" s="182"/>
      <c r="AHK11" s="182"/>
      <c r="AHL11" s="182"/>
      <c r="AHM11" s="182"/>
      <c r="AHN11" s="182"/>
      <c r="AHO11" s="182"/>
      <c r="AHP11" s="182"/>
      <c r="AHQ11" s="182"/>
      <c r="AHR11" s="182"/>
      <c r="AHS11" s="182"/>
      <c r="AHT11" s="182"/>
      <c r="AHU11" s="182"/>
      <c r="AHV11" s="182"/>
      <c r="AHW11" s="182"/>
      <c r="AHX11" s="182"/>
      <c r="AHY11" s="182"/>
      <c r="AHZ11" s="182"/>
      <c r="AIA11" s="182"/>
      <c r="AIB11" s="182"/>
      <c r="AIC11" s="182"/>
      <c r="AID11" s="182"/>
      <c r="AIE11" s="182"/>
      <c r="AIF11" s="182"/>
      <c r="AIG11" s="182"/>
      <c r="AIH11" s="182"/>
      <c r="AII11" s="182"/>
    </row>
    <row r="12" spans="1:919" s="183" customFormat="1" ht="15" customHeight="1">
      <c r="A12" s="180"/>
      <c r="B12" s="180"/>
      <c r="C12" s="180"/>
      <c r="D12" s="180"/>
      <c r="E12" s="387" t="s">
        <v>2081</v>
      </c>
      <c r="F12" s="376"/>
      <c r="G12" s="375"/>
      <c r="H12" s="375"/>
      <c r="I12" s="372"/>
      <c r="K12" s="182"/>
      <c r="L12" s="182"/>
      <c r="M12" s="182"/>
      <c r="N12" s="182"/>
      <c r="O12" s="182"/>
      <c r="P12" s="184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  <c r="PY12" s="182"/>
      <c r="PZ12" s="182"/>
      <c r="QA12" s="182"/>
      <c r="QB12" s="182"/>
      <c r="QC12" s="182"/>
      <c r="QD12" s="182"/>
      <c r="QE12" s="182"/>
      <c r="QF12" s="182"/>
      <c r="QG12" s="182"/>
      <c r="QH12" s="182"/>
      <c r="QI12" s="182"/>
      <c r="QJ12" s="182"/>
      <c r="QK12" s="182"/>
      <c r="QL12" s="182"/>
      <c r="QM12" s="182"/>
      <c r="QN12" s="182"/>
      <c r="QO12" s="182"/>
      <c r="QP12" s="182"/>
      <c r="QQ12" s="182"/>
      <c r="QR12" s="182"/>
      <c r="QS12" s="182"/>
      <c r="QT12" s="182"/>
      <c r="QU12" s="182"/>
      <c r="QV12" s="182"/>
      <c r="QW12" s="182"/>
      <c r="QX12" s="182"/>
      <c r="QY12" s="182"/>
      <c r="QZ12" s="182"/>
      <c r="RA12" s="182"/>
      <c r="RB12" s="182"/>
      <c r="RC12" s="182"/>
      <c r="RD12" s="182"/>
      <c r="RE12" s="182"/>
      <c r="RF12" s="182"/>
      <c r="RG12" s="182"/>
      <c r="RH12" s="182"/>
      <c r="RI12" s="182"/>
      <c r="RJ12" s="182"/>
      <c r="RK12" s="182"/>
      <c r="RL12" s="182"/>
      <c r="RM12" s="182"/>
      <c r="RN12" s="182"/>
      <c r="RO12" s="182"/>
      <c r="RP12" s="182"/>
      <c r="RQ12" s="182"/>
      <c r="RR12" s="182"/>
      <c r="RS12" s="182"/>
      <c r="RT12" s="182"/>
      <c r="RU12" s="182"/>
      <c r="RV12" s="182"/>
      <c r="RW12" s="182"/>
      <c r="RX12" s="182"/>
      <c r="RY12" s="182"/>
      <c r="RZ12" s="182"/>
      <c r="SA12" s="182"/>
      <c r="SB12" s="182"/>
      <c r="SC12" s="182"/>
      <c r="SD12" s="182"/>
      <c r="SE12" s="182"/>
      <c r="SF12" s="182"/>
      <c r="SG12" s="182"/>
      <c r="SH12" s="182"/>
      <c r="SI12" s="182"/>
      <c r="SJ12" s="182"/>
      <c r="SK12" s="182"/>
      <c r="SL12" s="182"/>
      <c r="SM12" s="182"/>
      <c r="SN12" s="182"/>
      <c r="SO12" s="182"/>
      <c r="SP12" s="182"/>
      <c r="SQ12" s="182"/>
      <c r="SR12" s="182"/>
      <c r="SS12" s="182"/>
      <c r="ST12" s="182"/>
      <c r="SU12" s="182"/>
      <c r="SV12" s="182"/>
      <c r="SW12" s="182"/>
      <c r="SX12" s="182"/>
      <c r="SY12" s="182"/>
      <c r="SZ12" s="182"/>
      <c r="TA12" s="182"/>
      <c r="TB12" s="182"/>
      <c r="TC12" s="182"/>
      <c r="TD12" s="182"/>
      <c r="TE12" s="182"/>
      <c r="TF12" s="182"/>
      <c r="TG12" s="182"/>
      <c r="TH12" s="182"/>
      <c r="TI12" s="182"/>
      <c r="TJ12" s="182"/>
      <c r="TK12" s="182"/>
      <c r="TL12" s="182"/>
      <c r="TM12" s="182"/>
      <c r="TN12" s="182"/>
      <c r="TO12" s="182"/>
      <c r="TP12" s="182"/>
      <c r="TQ12" s="182"/>
      <c r="TR12" s="182"/>
      <c r="TS12" s="182"/>
      <c r="TT12" s="182"/>
      <c r="TU12" s="182"/>
      <c r="TV12" s="182"/>
      <c r="TW12" s="182"/>
      <c r="TX12" s="182"/>
      <c r="TY12" s="182"/>
      <c r="TZ12" s="182"/>
      <c r="UA12" s="182"/>
      <c r="UB12" s="182"/>
      <c r="UC12" s="182"/>
      <c r="UD12" s="182"/>
      <c r="UE12" s="182"/>
      <c r="UF12" s="182"/>
      <c r="UG12" s="182"/>
      <c r="UH12" s="182"/>
      <c r="UI12" s="182"/>
      <c r="UJ12" s="182"/>
      <c r="UK12" s="182"/>
      <c r="UL12" s="182"/>
      <c r="UM12" s="182"/>
      <c r="UN12" s="182"/>
      <c r="UO12" s="182"/>
      <c r="UP12" s="182"/>
      <c r="UQ12" s="182"/>
      <c r="UR12" s="182"/>
      <c r="US12" s="182"/>
      <c r="UT12" s="182"/>
      <c r="UU12" s="182"/>
      <c r="UV12" s="182"/>
      <c r="UW12" s="182"/>
      <c r="UX12" s="182"/>
      <c r="UY12" s="182"/>
      <c r="UZ12" s="182"/>
      <c r="VA12" s="182"/>
      <c r="VB12" s="182"/>
      <c r="VC12" s="182"/>
      <c r="VD12" s="182"/>
      <c r="VE12" s="182"/>
      <c r="VF12" s="182"/>
      <c r="VG12" s="182"/>
      <c r="VH12" s="182"/>
      <c r="VI12" s="182"/>
      <c r="VJ12" s="182"/>
      <c r="VK12" s="182"/>
      <c r="VL12" s="182"/>
      <c r="VM12" s="182"/>
      <c r="VN12" s="182"/>
      <c r="VO12" s="182"/>
      <c r="VP12" s="182"/>
      <c r="VQ12" s="182"/>
      <c r="VR12" s="182"/>
      <c r="VS12" s="182"/>
      <c r="VT12" s="182"/>
      <c r="VU12" s="182"/>
      <c r="VV12" s="182"/>
      <c r="VW12" s="182"/>
      <c r="VX12" s="182"/>
      <c r="VY12" s="182"/>
      <c r="VZ12" s="182"/>
      <c r="WA12" s="182"/>
      <c r="WB12" s="182"/>
      <c r="WC12" s="182"/>
      <c r="WD12" s="182"/>
      <c r="WE12" s="182"/>
      <c r="WF12" s="182"/>
      <c r="WG12" s="182"/>
      <c r="WH12" s="182"/>
      <c r="WI12" s="182"/>
      <c r="WJ12" s="182"/>
      <c r="WK12" s="182"/>
      <c r="WL12" s="182"/>
      <c r="WM12" s="182"/>
      <c r="WN12" s="182"/>
      <c r="WO12" s="182"/>
      <c r="WP12" s="182"/>
      <c r="WQ12" s="182"/>
      <c r="WR12" s="182"/>
      <c r="WS12" s="182"/>
      <c r="WT12" s="182"/>
      <c r="WU12" s="182"/>
      <c r="WV12" s="182"/>
      <c r="WW12" s="182"/>
      <c r="WX12" s="182"/>
      <c r="WY12" s="182"/>
      <c r="WZ12" s="182"/>
      <c r="XA12" s="182"/>
      <c r="XB12" s="182"/>
      <c r="XC12" s="182"/>
      <c r="XD12" s="182"/>
      <c r="XE12" s="182"/>
      <c r="XF12" s="182"/>
      <c r="XG12" s="182"/>
      <c r="XH12" s="182"/>
      <c r="XI12" s="182"/>
      <c r="XJ12" s="182"/>
      <c r="XK12" s="182"/>
      <c r="XL12" s="182"/>
      <c r="XM12" s="182"/>
      <c r="XN12" s="182"/>
      <c r="XO12" s="182"/>
      <c r="XP12" s="182"/>
      <c r="XQ12" s="182"/>
      <c r="XR12" s="182"/>
      <c r="XS12" s="182"/>
      <c r="XT12" s="182"/>
      <c r="XU12" s="182"/>
      <c r="XV12" s="182"/>
      <c r="XW12" s="182"/>
      <c r="XX12" s="182"/>
      <c r="XY12" s="182"/>
      <c r="XZ12" s="182"/>
      <c r="YA12" s="182"/>
      <c r="YB12" s="182"/>
      <c r="YC12" s="182"/>
      <c r="YD12" s="182"/>
      <c r="YE12" s="182"/>
      <c r="YF12" s="182"/>
      <c r="YG12" s="182"/>
      <c r="YH12" s="182"/>
      <c r="YI12" s="182"/>
      <c r="YJ12" s="182"/>
      <c r="YK12" s="182"/>
      <c r="YL12" s="182"/>
      <c r="YM12" s="182"/>
      <c r="YN12" s="182"/>
      <c r="YO12" s="182"/>
      <c r="YP12" s="182"/>
      <c r="YQ12" s="182"/>
      <c r="YR12" s="182"/>
      <c r="YS12" s="182"/>
      <c r="YT12" s="182"/>
      <c r="YU12" s="182"/>
      <c r="YV12" s="182"/>
      <c r="YW12" s="182"/>
      <c r="YX12" s="182"/>
      <c r="YY12" s="182"/>
      <c r="YZ12" s="182"/>
      <c r="ZA12" s="182"/>
      <c r="ZB12" s="182"/>
      <c r="ZC12" s="182"/>
      <c r="ZD12" s="182"/>
      <c r="ZE12" s="182"/>
      <c r="ZF12" s="182"/>
      <c r="ZG12" s="182"/>
      <c r="ZH12" s="182"/>
      <c r="ZI12" s="182"/>
      <c r="ZJ12" s="182"/>
      <c r="ZK12" s="182"/>
      <c r="ZL12" s="182"/>
      <c r="ZM12" s="182"/>
      <c r="ZN12" s="182"/>
      <c r="ZO12" s="182"/>
      <c r="ZP12" s="182"/>
      <c r="ZQ12" s="182"/>
      <c r="ZR12" s="182"/>
      <c r="ZS12" s="182"/>
      <c r="ZT12" s="182"/>
      <c r="ZU12" s="182"/>
      <c r="ZV12" s="182"/>
      <c r="ZW12" s="182"/>
      <c r="ZX12" s="182"/>
      <c r="ZY12" s="182"/>
      <c r="ZZ12" s="182"/>
      <c r="AAA12" s="182"/>
      <c r="AAB12" s="182"/>
      <c r="AAC12" s="182"/>
      <c r="AAD12" s="182"/>
      <c r="AAE12" s="182"/>
      <c r="AAF12" s="182"/>
      <c r="AAG12" s="182"/>
      <c r="AAH12" s="182"/>
      <c r="AAI12" s="182"/>
      <c r="AAJ12" s="182"/>
      <c r="AAK12" s="182"/>
      <c r="AAL12" s="182"/>
      <c r="AAM12" s="182"/>
      <c r="AAN12" s="182"/>
      <c r="AAO12" s="182"/>
      <c r="AAP12" s="182"/>
      <c r="AAQ12" s="182"/>
      <c r="AAR12" s="182"/>
      <c r="AAS12" s="182"/>
      <c r="AAT12" s="182"/>
      <c r="AAU12" s="182"/>
      <c r="AAV12" s="182"/>
      <c r="AAW12" s="182"/>
      <c r="AAX12" s="182"/>
      <c r="AAY12" s="182"/>
      <c r="AAZ12" s="182"/>
      <c r="ABA12" s="182"/>
      <c r="ABB12" s="182"/>
      <c r="ABC12" s="182"/>
      <c r="ABD12" s="182"/>
      <c r="ABE12" s="182"/>
      <c r="ABF12" s="182"/>
      <c r="ABG12" s="182"/>
      <c r="ABH12" s="182"/>
      <c r="ABI12" s="182"/>
      <c r="ABJ12" s="182"/>
      <c r="ABK12" s="182"/>
      <c r="ABL12" s="182"/>
      <c r="ABM12" s="182"/>
      <c r="ABN12" s="182"/>
      <c r="ABO12" s="182"/>
      <c r="ABP12" s="182"/>
      <c r="ABQ12" s="182"/>
      <c r="ABR12" s="182"/>
      <c r="ABS12" s="182"/>
      <c r="ABT12" s="182"/>
      <c r="ABU12" s="182"/>
      <c r="ABV12" s="182"/>
      <c r="ABW12" s="182"/>
      <c r="ABX12" s="182"/>
      <c r="ABY12" s="182"/>
      <c r="ABZ12" s="182"/>
      <c r="ACA12" s="182"/>
      <c r="ACB12" s="182"/>
      <c r="ACC12" s="182"/>
      <c r="ACD12" s="182"/>
      <c r="ACE12" s="182"/>
      <c r="ACF12" s="182"/>
      <c r="ACG12" s="182"/>
      <c r="ACH12" s="182"/>
      <c r="ACI12" s="182"/>
      <c r="ACJ12" s="182"/>
      <c r="ACK12" s="182"/>
      <c r="ACL12" s="182"/>
      <c r="ACM12" s="182"/>
      <c r="ACN12" s="182"/>
      <c r="ACO12" s="182"/>
      <c r="ACP12" s="182"/>
      <c r="ACQ12" s="182"/>
      <c r="ACR12" s="182"/>
      <c r="ACS12" s="182"/>
      <c r="ACT12" s="182"/>
      <c r="ACU12" s="182"/>
      <c r="ACV12" s="182"/>
      <c r="ACW12" s="182"/>
      <c r="ACX12" s="182"/>
      <c r="ACY12" s="182"/>
      <c r="ACZ12" s="182"/>
      <c r="ADA12" s="182"/>
      <c r="ADB12" s="182"/>
      <c r="ADC12" s="182"/>
      <c r="ADD12" s="182"/>
      <c r="ADE12" s="182"/>
      <c r="ADF12" s="182"/>
      <c r="ADG12" s="182"/>
      <c r="ADH12" s="182"/>
      <c r="ADI12" s="182"/>
      <c r="ADJ12" s="182"/>
      <c r="ADK12" s="182"/>
      <c r="ADL12" s="182"/>
      <c r="ADM12" s="182"/>
      <c r="ADN12" s="182"/>
      <c r="ADO12" s="182"/>
      <c r="ADP12" s="182"/>
      <c r="ADQ12" s="182"/>
      <c r="ADR12" s="182"/>
      <c r="ADS12" s="182"/>
      <c r="ADT12" s="182"/>
      <c r="ADU12" s="182"/>
      <c r="ADV12" s="182"/>
      <c r="ADW12" s="182"/>
      <c r="ADX12" s="182"/>
      <c r="ADY12" s="182"/>
      <c r="ADZ12" s="182"/>
      <c r="AEA12" s="182"/>
      <c r="AEB12" s="182"/>
      <c r="AEC12" s="182"/>
      <c r="AED12" s="182"/>
      <c r="AEE12" s="182"/>
      <c r="AEF12" s="182"/>
      <c r="AEG12" s="182"/>
      <c r="AEH12" s="182"/>
      <c r="AEI12" s="182"/>
      <c r="AEJ12" s="182"/>
      <c r="AEK12" s="182"/>
      <c r="AEL12" s="182"/>
      <c r="AEM12" s="182"/>
      <c r="AEN12" s="182"/>
      <c r="AEO12" s="182"/>
      <c r="AEP12" s="182"/>
      <c r="AEQ12" s="182"/>
      <c r="AER12" s="182"/>
      <c r="AES12" s="182"/>
      <c r="AET12" s="182"/>
      <c r="AEU12" s="182"/>
      <c r="AEV12" s="182"/>
      <c r="AEW12" s="182"/>
      <c r="AEX12" s="182"/>
      <c r="AEY12" s="182"/>
      <c r="AEZ12" s="182"/>
      <c r="AFA12" s="182"/>
      <c r="AFB12" s="182"/>
      <c r="AFC12" s="182"/>
      <c r="AFD12" s="182"/>
      <c r="AFE12" s="182"/>
      <c r="AFF12" s="182"/>
      <c r="AFG12" s="182"/>
      <c r="AFH12" s="182"/>
      <c r="AFI12" s="182"/>
      <c r="AFJ12" s="182"/>
      <c r="AFK12" s="182"/>
      <c r="AFL12" s="182"/>
      <c r="AFM12" s="182"/>
      <c r="AFN12" s="182"/>
      <c r="AFO12" s="182"/>
      <c r="AFP12" s="182"/>
      <c r="AFQ12" s="182"/>
      <c r="AFR12" s="182"/>
      <c r="AFS12" s="182"/>
      <c r="AFT12" s="182"/>
      <c r="AFU12" s="182"/>
      <c r="AFV12" s="182"/>
      <c r="AFW12" s="182"/>
      <c r="AFX12" s="182"/>
      <c r="AFY12" s="182"/>
      <c r="AFZ12" s="182"/>
      <c r="AGA12" s="182"/>
      <c r="AGB12" s="182"/>
      <c r="AGC12" s="182"/>
      <c r="AGD12" s="182"/>
      <c r="AGE12" s="182"/>
      <c r="AGF12" s="182"/>
      <c r="AGG12" s="182"/>
      <c r="AGH12" s="182"/>
      <c r="AGI12" s="182"/>
      <c r="AGJ12" s="182"/>
      <c r="AGK12" s="182"/>
      <c r="AGL12" s="182"/>
      <c r="AGM12" s="182"/>
      <c r="AGN12" s="182"/>
      <c r="AGO12" s="182"/>
      <c r="AGP12" s="182"/>
      <c r="AGQ12" s="182"/>
      <c r="AGR12" s="182"/>
      <c r="AGS12" s="182"/>
      <c r="AGT12" s="182"/>
      <c r="AGU12" s="182"/>
      <c r="AGV12" s="182"/>
      <c r="AGW12" s="182"/>
      <c r="AGX12" s="182"/>
      <c r="AGY12" s="182"/>
      <c r="AGZ12" s="182"/>
      <c r="AHA12" s="182"/>
      <c r="AHB12" s="182"/>
      <c r="AHC12" s="182"/>
      <c r="AHD12" s="182"/>
      <c r="AHE12" s="182"/>
      <c r="AHF12" s="182"/>
      <c r="AHG12" s="182"/>
      <c r="AHH12" s="182"/>
      <c r="AHI12" s="182"/>
      <c r="AHJ12" s="182"/>
      <c r="AHK12" s="182"/>
      <c r="AHL12" s="182"/>
      <c r="AHM12" s="182"/>
      <c r="AHN12" s="182"/>
      <c r="AHO12" s="182"/>
      <c r="AHP12" s="182"/>
      <c r="AHQ12" s="182"/>
      <c r="AHR12" s="182"/>
      <c r="AHS12" s="182"/>
      <c r="AHT12" s="182"/>
      <c r="AHU12" s="182"/>
      <c r="AHV12" s="182"/>
      <c r="AHW12" s="182"/>
      <c r="AHX12" s="182"/>
      <c r="AHY12" s="182"/>
      <c r="AHZ12" s="182"/>
      <c r="AIA12" s="182"/>
      <c r="AIB12" s="182"/>
      <c r="AIC12" s="182"/>
      <c r="AID12" s="182"/>
      <c r="AIE12" s="182"/>
      <c r="AIF12" s="182"/>
      <c r="AIG12" s="182"/>
      <c r="AIH12" s="182"/>
      <c r="AII12" s="182"/>
    </row>
    <row r="13" spans="1:919" ht="14.25" customHeight="1">
      <c r="E13" s="1033" t="s">
        <v>2082</v>
      </c>
      <c r="F13" s="1033"/>
      <c r="G13" s="1033"/>
      <c r="H13" s="1033"/>
      <c r="I13" s="1033"/>
      <c r="J13" s="1033"/>
      <c r="P13" s="190"/>
    </row>
    <row r="14" spans="1:919" ht="14.25" customHeight="1">
      <c r="E14" s="1033" t="s">
        <v>2083</v>
      </c>
      <c r="F14" s="1033"/>
      <c r="G14" s="1033"/>
      <c r="H14" s="1033"/>
      <c r="I14" s="1033"/>
      <c r="J14" s="1033"/>
      <c r="P14" s="190"/>
    </row>
    <row r="15" spans="1:919" ht="15" customHeight="1">
      <c r="E15" s="1034" t="str">
        <f>IF(OsnPodaci!B58="","Unijeti interval izvještavanja.","na dan "&amp;TEXT(OsnPodaci!B58,"dd.mm.yyyy.")&amp;" godine")</f>
        <v>na dan 31.12.2022. godine</v>
      </c>
      <c r="F15" s="1034"/>
      <c r="G15" s="1034"/>
      <c r="H15" s="1034"/>
      <c r="I15" s="1034"/>
      <c r="J15" s="1034"/>
    </row>
    <row r="16" spans="1:919" ht="13.5" customHeight="1">
      <c r="E16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6" s="192"/>
      <c r="G16" s="192"/>
      <c r="H16" s="192"/>
      <c r="J16" s="389" t="s">
        <v>2084</v>
      </c>
    </row>
    <row r="17" spans="1:919" ht="33" customHeight="1">
      <c r="E17" s="418" t="s">
        <v>2085</v>
      </c>
      <c r="F17" s="422" t="s">
        <v>2050</v>
      </c>
      <c r="G17" s="422" t="s">
        <v>2086</v>
      </c>
      <c r="H17" s="431" t="s">
        <v>2087</v>
      </c>
      <c r="I17" s="431" t="s">
        <v>2088</v>
      </c>
      <c r="J17" s="431" t="s">
        <v>2089</v>
      </c>
    </row>
    <row r="18" spans="1:919" s="196" customFormat="1" ht="12.75" customHeight="1">
      <c r="A18" s="194"/>
      <c r="B18" s="194"/>
      <c r="C18" s="194"/>
      <c r="D18" s="194"/>
      <c r="E18" s="419">
        <v>1</v>
      </c>
      <c r="F18" s="423">
        <v>2</v>
      </c>
      <c r="G18" s="423">
        <v>3</v>
      </c>
      <c r="H18" s="432">
        <v>4</v>
      </c>
      <c r="I18" s="432">
        <v>5</v>
      </c>
      <c r="J18" s="432">
        <v>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</row>
    <row r="19" spans="1:919" ht="12.75" customHeight="1">
      <c r="E19" s="420"/>
      <c r="F19" s="424" t="s">
        <v>2090</v>
      </c>
      <c r="G19" s="424"/>
      <c r="H19" s="433"/>
      <c r="I19" s="435"/>
      <c r="J19" s="435"/>
    </row>
    <row r="20" spans="1:919" ht="12.75" customHeight="1">
      <c r="A20" s="188">
        <v>0.02</v>
      </c>
      <c r="B20" s="188">
        <v>0.68</v>
      </c>
      <c r="C20" s="188">
        <f>IF(LEN(I20)=0,"",1+ABS((I20*A20)/LEN(I20))+A20)</f>
        <v>8608.5628571428588</v>
      </c>
      <c r="D20" s="188">
        <f>IF(LEN(J20)=0,"",1+ABS((J20*B20)/LEN(J20))+B20)</f>
        <v>264831.08</v>
      </c>
      <c r="E20" s="420" t="s">
        <v>2091</v>
      </c>
      <c r="F20" s="425" t="s">
        <v>2092</v>
      </c>
      <c r="G20" s="424"/>
      <c r="H20" s="433" t="s">
        <v>34</v>
      </c>
      <c r="I20" s="436">
        <v>3012640</v>
      </c>
      <c r="J20" s="436">
        <v>2726185</v>
      </c>
    </row>
    <row r="21" spans="1:919" ht="12.75" customHeight="1">
      <c r="A21" s="188">
        <v>0.03</v>
      </c>
      <c r="B21" s="188">
        <v>0.69</v>
      </c>
      <c r="C21" s="188">
        <f t="shared" ref="C21:D37" si="0">IF(LEN(I21)=0,"",1+ABS((I21*A21)/LEN(I21))+A21)</f>
        <v>94672.682499999995</v>
      </c>
      <c r="D21" s="188">
        <f t="shared" si="0"/>
        <v>1796188.2137499999</v>
      </c>
      <c r="E21" s="420" t="s">
        <v>2093</v>
      </c>
      <c r="F21" s="425" t="s">
        <v>2094</v>
      </c>
      <c r="G21" s="425"/>
      <c r="H21" s="433" t="s">
        <v>2095</v>
      </c>
      <c r="I21" s="435">
        <f>IFERROR(IF(AND(I22:I23)="","",SUM(I22:I23)),"")</f>
        <v>25245774</v>
      </c>
      <c r="J21" s="435">
        <f>IFERROR(IF(AND(J22:J23)="","",SUM(J22:J23)),"")</f>
        <v>20825351</v>
      </c>
    </row>
    <row r="22" spans="1:919" ht="12.75" customHeight="1">
      <c r="A22" s="188">
        <v>0.04</v>
      </c>
      <c r="B22" s="188">
        <v>0.7</v>
      </c>
      <c r="C22" s="188">
        <f t="shared" si="0"/>
        <v>126229.91</v>
      </c>
      <c r="D22" s="188">
        <f t="shared" si="0"/>
        <v>1822219.9124999999</v>
      </c>
      <c r="E22" s="420" t="s">
        <v>2096</v>
      </c>
      <c r="F22" s="426" t="s">
        <v>2097</v>
      </c>
      <c r="G22" s="425"/>
      <c r="H22" s="433" t="s">
        <v>56</v>
      </c>
      <c r="I22" s="436">
        <v>25245774</v>
      </c>
      <c r="J22" s="436">
        <v>20825351</v>
      </c>
    </row>
    <row r="23" spans="1:919" ht="12.75" customHeight="1">
      <c r="A23" s="188">
        <v>0.05</v>
      </c>
      <c r="B23" s="188">
        <v>0.71</v>
      </c>
      <c r="C23" s="188" t="str">
        <f t="shared" si="0"/>
        <v/>
      </c>
      <c r="D23" s="188" t="str">
        <f t="shared" si="0"/>
        <v/>
      </c>
      <c r="E23" s="420" t="s">
        <v>2098</v>
      </c>
      <c r="F23" s="426" t="s">
        <v>2099</v>
      </c>
      <c r="G23" s="425"/>
      <c r="H23" s="433" t="s">
        <v>2100</v>
      </c>
      <c r="I23" s="436"/>
      <c r="J23" s="436"/>
    </row>
    <row r="24" spans="1:919" ht="12.75" customHeight="1">
      <c r="A24" s="188">
        <v>0.06</v>
      </c>
      <c r="B24" s="188">
        <v>0.72</v>
      </c>
      <c r="C24" s="188" t="str">
        <f t="shared" si="0"/>
        <v/>
      </c>
      <c r="D24" s="188" t="str">
        <f t="shared" si="0"/>
        <v/>
      </c>
      <c r="E24" s="420" t="s">
        <v>2101</v>
      </c>
      <c r="F24" s="425" t="s">
        <v>2102</v>
      </c>
      <c r="G24" s="425"/>
      <c r="H24" s="433" t="s">
        <v>2103</v>
      </c>
      <c r="I24" s="435" t="str">
        <f>IFERROR(IF(AND(I25:I26)="","",SUM(I25:I26)),"")</f>
        <v/>
      </c>
      <c r="J24" s="435" t="str">
        <f>IFERROR(IF(AND(J25:J26)="","",SUM(J25:J26)),"")</f>
        <v/>
      </c>
    </row>
    <row r="25" spans="1:919" ht="12.75" customHeight="1">
      <c r="A25" s="188">
        <v>7.0000000000000007E-2</v>
      </c>
      <c r="B25" s="188">
        <v>0.73</v>
      </c>
      <c r="C25" s="188" t="str">
        <f t="shared" si="0"/>
        <v/>
      </c>
      <c r="D25" s="188" t="str">
        <f t="shared" si="0"/>
        <v/>
      </c>
      <c r="E25" s="420" t="s">
        <v>2104</v>
      </c>
      <c r="F25" s="426" t="s">
        <v>2097</v>
      </c>
      <c r="G25" s="425"/>
      <c r="H25" s="433" t="s">
        <v>2105</v>
      </c>
      <c r="I25" s="436"/>
      <c r="J25" s="436"/>
    </row>
    <row r="26" spans="1:919" ht="12.75" customHeight="1">
      <c r="A26" s="188">
        <v>0.08</v>
      </c>
      <c r="B26" s="188">
        <v>0.73999999999999899</v>
      </c>
      <c r="C26" s="188" t="str">
        <f t="shared" si="0"/>
        <v/>
      </c>
      <c r="D26" s="188" t="str">
        <f t="shared" si="0"/>
        <v/>
      </c>
      <c r="E26" s="420" t="s">
        <v>2106</v>
      </c>
      <c r="F26" s="426" t="s">
        <v>2099</v>
      </c>
      <c r="G26" s="425"/>
      <c r="H26" s="433" t="s">
        <v>2107</v>
      </c>
      <c r="I26" s="436"/>
      <c r="J26" s="436"/>
    </row>
    <row r="27" spans="1:919" ht="12.75" customHeight="1">
      <c r="A27" s="188">
        <v>0.09</v>
      </c>
      <c r="B27" s="188">
        <v>0.749999999999999</v>
      </c>
      <c r="C27" s="188">
        <f t="shared" si="0"/>
        <v>21031.325714285715</v>
      </c>
      <c r="D27" s="188">
        <f t="shared" si="0"/>
        <v>186297.14285714264</v>
      </c>
      <c r="E27" s="420" t="s">
        <v>2108</v>
      </c>
      <c r="F27" s="425" t="s">
        <v>2109</v>
      </c>
      <c r="G27" s="425"/>
      <c r="H27" s="433" t="s">
        <v>75</v>
      </c>
      <c r="I27" s="435">
        <f>IFERROR(IF(AND(I28:I32)="","",SUM(I28:I32)),"")</f>
        <v>1635685</v>
      </c>
      <c r="J27" s="435">
        <f>IFERROR(IF(AND(J28:J32)="","",SUM(J28:J32)),"")</f>
        <v>1738757</v>
      </c>
    </row>
    <row r="28" spans="1:919" ht="12.75" customHeight="1">
      <c r="A28" s="188">
        <v>0.1</v>
      </c>
      <c r="B28" s="188">
        <v>0.75999999999999901</v>
      </c>
      <c r="C28" s="188">
        <f t="shared" si="0"/>
        <v>326.56000000000006</v>
      </c>
      <c r="D28" s="188">
        <f t="shared" si="0"/>
        <v>2359.127999999997</v>
      </c>
      <c r="E28" s="420" t="s">
        <v>2110</v>
      </c>
      <c r="F28" s="426" t="s">
        <v>2111</v>
      </c>
      <c r="G28" s="424"/>
      <c r="H28" s="433" t="s">
        <v>2112</v>
      </c>
      <c r="I28" s="436">
        <v>16273</v>
      </c>
      <c r="J28" s="436">
        <v>15509</v>
      </c>
    </row>
    <row r="29" spans="1:919" ht="12.75" customHeight="1">
      <c r="A29" s="188">
        <v>0.11</v>
      </c>
      <c r="B29" s="188">
        <v>0.76999999999999902</v>
      </c>
      <c r="C29" s="188">
        <f t="shared" si="0"/>
        <v>25449.012857142858</v>
      </c>
      <c r="D29" s="188">
        <f t="shared" si="0"/>
        <v>189559.04999999976</v>
      </c>
      <c r="E29" s="420" t="s">
        <v>2113</v>
      </c>
      <c r="F29" s="426" t="s">
        <v>2114</v>
      </c>
      <c r="G29" s="425"/>
      <c r="H29" s="433" t="s">
        <v>2115</v>
      </c>
      <c r="I29" s="436">
        <v>1619412</v>
      </c>
      <c r="J29" s="436">
        <v>1723248</v>
      </c>
    </row>
    <row r="30" spans="1:919" ht="12.75" customHeight="1">
      <c r="A30" s="188">
        <v>0.12</v>
      </c>
      <c r="B30" s="188">
        <v>0.77999999999999903</v>
      </c>
      <c r="C30" s="188" t="str">
        <f t="shared" si="0"/>
        <v/>
      </c>
      <c r="D30" s="188" t="str">
        <f t="shared" si="0"/>
        <v/>
      </c>
      <c r="E30" s="420" t="s">
        <v>2116</v>
      </c>
      <c r="F30" s="426" t="s">
        <v>2117</v>
      </c>
      <c r="G30" s="425"/>
      <c r="H30" s="433" t="s">
        <v>94</v>
      </c>
      <c r="I30" s="436"/>
      <c r="J30" s="436"/>
    </row>
    <row r="31" spans="1:919" ht="12.75" customHeight="1">
      <c r="A31" s="188">
        <v>0.13</v>
      </c>
      <c r="B31" s="188">
        <v>0.78999999999999904</v>
      </c>
      <c r="C31" s="188" t="str">
        <f t="shared" si="0"/>
        <v/>
      </c>
      <c r="D31" s="188" t="str">
        <f t="shared" si="0"/>
        <v/>
      </c>
      <c r="E31" s="420" t="s">
        <v>2118</v>
      </c>
      <c r="F31" s="426" t="s">
        <v>2119</v>
      </c>
      <c r="G31" s="425"/>
      <c r="H31" s="433" t="s">
        <v>273</v>
      </c>
      <c r="I31" s="436"/>
      <c r="J31" s="436"/>
    </row>
    <row r="32" spans="1:919" ht="12.75" customHeight="1">
      <c r="A32" s="188">
        <v>0.14000000000000001</v>
      </c>
      <c r="B32" s="188">
        <v>0.79999999999999905</v>
      </c>
      <c r="C32" s="188" t="str">
        <f t="shared" si="0"/>
        <v/>
      </c>
      <c r="D32" s="188" t="str">
        <f t="shared" si="0"/>
        <v/>
      </c>
      <c r="E32" s="420" t="s">
        <v>2120</v>
      </c>
      <c r="F32" s="426" t="s">
        <v>2121</v>
      </c>
      <c r="G32" s="425"/>
      <c r="H32" s="433" t="s">
        <v>109</v>
      </c>
      <c r="I32" s="436"/>
      <c r="J32" s="436"/>
    </row>
    <row r="33" spans="1:919" ht="12.75" customHeight="1">
      <c r="A33" s="188">
        <v>0.15</v>
      </c>
      <c r="B33" s="188">
        <v>0.80999999999999905</v>
      </c>
      <c r="C33" s="188" t="str">
        <f t="shared" si="0"/>
        <v/>
      </c>
      <c r="D33" s="188" t="str">
        <f t="shared" si="0"/>
        <v/>
      </c>
      <c r="E33" s="420" t="s">
        <v>2122</v>
      </c>
      <c r="F33" s="425" t="s">
        <v>2123</v>
      </c>
      <c r="G33" s="425"/>
      <c r="H33" s="433" t="s">
        <v>2124</v>
      </c>
      <c r="I33" s="436"/>
      <c r="J33" s="436"/>
    </row>
    <row r="34" spans="1:919" ht="12.75" customHeight="1">
      <c r="A34" s="188">
        <v>0.16</v>
      </c>
      <c r="B34" s="188">
        <v>0.81999999999999895</v>
      </c>
      <c r="C34" s="188" t="str">
        <f t="shared" si="0"/>
        <v/>
      </c>
      <c r="D34" s="188" t="str">
        <f t="shared" si="0"/>
        <v/>
      </c>
      <c r="E34" s="420" t="s">
        <v>2125</v>
      </c>
      <c r="F34" s="425" t="s">
        <v>2126</v>
      </c>
      <c r="G34" s="425"/>
      <c r="H34" s="433" t="s">
        <v>2127</v>
      </c>
      <c r="I34" s="436"/>
      <c r="J34" s="436"/>
    </row>
    <row r="35" spans="1:919" ht="12.75" customHeight="1">
      <c r="A35" s="188">
        <v>0.17</v>
      </c>
      <c r="B35" s="188">
        <v>0.82999999999999796</v>
      </c>
      <c r="C35" s="188" t="str">
        <f t="shared" si="0"/>
        <v/>
      </c>
      <c r="D35" s="188" t="str">
        <f t="shared" si="0"/>
        <v/>
      </c>
      <c r="E35" s="420" t="s">
        <v>2128</v>
      </c>
      <c r="F35" s="425" t="s">
        <v>2129</v>
      </c>
      <c r="G35" s="425"/>
      <c r="H35" s="433" t="s">
        <v>124</v>
      </c>
      <c r="I35" s="436"/>
      <c r="J35" s="436"/>
    </row>
    <row r="36" spans="1:919" ht="12.75" customHeight="1">
      <c r="A36" s="188">
        <v>0.18</v>
      </c>
      <c r="B36" s="188">
        <v>0.83999999999999797</v>
      </c>
      <c r="C36" s="188">
        <f t="shared" si="0"/>
        <v>7543.57</v>
      </c>
      <c r="D36" s="188">
        <f t="shared" si="0"/>
        <v>25099.359999999942</v>
      </c>
      <c r="E36" s="421" t="s">
        <v>2130</v>
      </c>
      <c r="F36" s="427" t="s">
        <v>2131</v>
      </c>
      <c r="G36" s="429"/>
      <c r="H36" s="434" t="s">
        <v>140</v>
      </c>
      <c r="I36" s="437">
        <f>IFERROR(IF(AND(I37:I38,I43:I44)="","",SUM(I37:I38,I43:I44)),"")</f>
        <v>251413</v>
      </c>
      <c r="J36" s="437">
        <f>IFERROR(IF(AND(J37:J38,J43:J44)="","",SUM(J37:J38,J43:J44)),"")</f>
        <v>179268</v>
      </c>
    </row>
    <row r="37" spans="1:919" ht="12.75" customHeight="1">
      <c r="A37" s="188">
        <v>0.2</v>
      </c>
      <c r="B37" s="188">
        <v>0.84999999999999798</v>
      </c>
      <c r="C37" s="188">
        <f t="shared" si="0"/>
        <v>8381.3666666666668</v>
      </c>
      <c r="D37" s="188">
        <f t="shared" si="0"/>
        <v>25398.14999999994</v>
      </c>
      <c r="E37" s="420" t="s">
        <v>2132</v>
      </c>
      <c r="F37" s="426" t="s">
        <v>2133</v>
      </c>
      <c r="G37" s="430"/>
      <c r="H37" s="433" t="s">
        <v>155</v>
      </c>
      <c r="I37" s="436">
        <v>251405</v>
      </c>
      <c r="J37" s="436">
        <v>179268</v>
      </c>
    </row>
    <row r="38" spans="1:919" ht="12.75" customHeight="1">
      <c r="A38" s="188">
        <v>0.22</v>
      </c>
      <c r="B38" s="188">
        <v>0.85999999999999799</v>
      </c>
      <c r="C38" s="188" t="str">
        <f>IF(LEN(I38)=0,"",1+ABS((I38*A38)/LEN(I38))+A38)</f>
        <v/>
      </c>
      <c r="D38" s="188" t="str">
        <f>IF(LEN(J38)=0,"",1+ABS((J38*B38)/LEN(J38))+B38)</f>
        <v/>
      </c>
      <c r="E38" s="421" t="s">
        <v>2134</v>
      </c>
      <c r="F38" s="428" t="s">
        <v>2135</v>
      </c>
      <c r="G38" s="429"/>
      <c r="H38" s="434" t="s">
        <v>183</v>
      </c>
      <c r="I38" s="438"/>
      <c r="J38" s="438"/>
    </row>
    <row r="39" spans="1:919" ht="22.5">
      <c r="E39" s="189"/>
      <c r="F39" s="189"/>
      <c r="G39" s="189"/>
      <c r="H39" s="189"/>
      <c r="I39" s="189"/>
      <c r="J39" s="113" t="str">
        <f>"*"&amp;'#Konverter'!AD2&amp;C98&amp;D98&amp;"*"</f>
        <v>*1013843295*</v>
      </c>
    </row>
    <row r="40" spans="1:919" s="391" customFormat="1" ht="17.25" customHeight="1">
      <c r="E40" s="392" t="str">
        <f>IF(C98&amp;D98="","Obrazac prazan - unesite cifru na barem jednu poziciju.","Kontrolni broj: "&amp;MID(J39,2,LEN(J39)-2))</f>
        <v>Kontrolni broj: 1013843295</v>
      </c>
      <c r="J40" s="393" t="s">
        <v>2136</v>
      </c>
    </row>
    <row r="41" spans="1:919" ht="33" customHeight="1">
      <c r="E41" s="418" t="s">
        <v>2085</v>
      </c>
      <c r="F41" s="422" t="s">
        <v>2050</v>
      </c>
      <c r="G41" s="422" t="s">
        <v>2086</v>
      </c>
      <c r="H41" s="431" t="s">
        <v>2087</v>
      </c>
      <c r="I41" s="431" t="s">
        <v>2088</v>
      </c>
      <c r="J41" s="431" t="s">
        <v>2089</v>
      </c>
    </row>
    <row r="42" spans="1:919" s="196" customFormat="1" ht="13.5" customHeight="1">
      <c r="A42" s="188"/>
      <c r="B42" s="188"/>
      <c r="C42" s="188"/>
      <c r="D42" s="188"/>
      <c r="E42" s="419">
        <v>1</v>
      </c>
      <c r="F42" s="423">
        <v>2</v>
      </c>
      <c r="G42" s="423">
        <v>3</v>
      </c>
      <c r="H42" s="432">
        <v>4</v>
      </c>
      <c r="I42" s="432">
        <v>5</v>
      </c>
      <c r="J42" s="432">
        <v>6</v>
      </c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  <c r="RH42" s="195"/>
      <c r="RI42" s="195"/>
      <c r="RJ42" s="195"/>
      <c r="RK42" s="195"/>
      <c r="RL42" s="195"/>
      <c r="RM42" s="195"/>
      <c r="RN42" s="195"/>
      <c r="RO42" s="195"/>
      <c r="RP42" s="195"/>
      <c r="RQ42" s="195"/>
      <c r="RR42" s="195"/>
      <c r="RS42" s="195"/>
      <c r="RT42" s="195"/>
      <c r="RU42" s="195"/>
      <c r="RV42" s="195"/>
      <c r="RW42" s="195"/>
      <c r="RX42" s="195"/>
      <c r="RY42" s="195"/>
      <c r="RZ42" s="195"/>
      <c r="SA42" s="195"/>
      <c r="SB42" s="195"/>
      <c r="SC42" s="195"/>
      <c r="SD42" s="195"/>
      <c r="SE42" s="195"/>
      <c r="SF42" s="195"/>
      <c r="SG42" s="195"/>
      <c r="SH42" s="195"/>
      <c r="SI42" s="195"/>
      <c r="SJ42" s="195"/>
      <c r="SK42" s="195"/>
      <c r="SL42" s="195"/>
      <c r="SM42" s="195"/>
      <c r="SN42" s="195"/>
      <c r="SO42" s="195"/>
      <c r="SP42" s="195"/>
      <c r="SQ42" s="195"/>
      <c r="SR42" s="195"/>
      <c r="SS42" s="195"/>
      <c r="ST42" s="195"/>
      <c r="SU42" s="195"/>
      <c r="SV42" s="195"/>
      <c r="SW42" s="195"/>
      <c r="SX42" s="195"/>
      <c r="SY42" s="195"/>
      <c r="SZ42" s="195"/>
      <c r="TA42" s="195"/>
      <c r="TB42" s="195"/>
      <c r="TC42" s="195"/>
      <c r="TD42" s="195"/>
      <c r="TE42" s="195"/>
      <c r="TF42" s="195"/>
      <c r="TG42" s="195"/>
      <c r="TH42" s="195"/>
      <c r="TI42" s="195"/>
      <c r="TJ42" s="195"/>
      <c r="TK42" s="195"/>
      <c r="TL42" s="195"/>
      <c r="TM42" s="195"/>
      <c r="TN42" s="195"/>
      <c r="TO42" s="195"/>
      <c r="TP42" s="195"/>
      <c r="TQ42" s="195"/>
      <c r="TR42" s="195"/>
      <c r="TS42" s="195"/>
      <c r="TT42" s="195"/>
      <c r="TU42" s="195"/>
      <c r="TV42" s="195"/>
      <c r="TW42" s="195"/>
      <c r="TX42" s="195"/>
      <c r="TY42" s="195"/>
      <c r="TZ42" s="195"/>
      <c r="UA42" s="195"/>
      <c r="UB42" s="195"/>
      <c r="UC42" s="195"/>
      <c r="UD42" s="195"/>
      <c r="UE42" s="195"/>
      <c r="UF42" s="195"/>
      <c r="UG42" s="195"/>
      <c r="UH42" s="195"/>
      <c r="UI42" s="195"/>
      <c r="UJ42" s="195"/>
      <c r="UK42" s="195"/>
      <c r="UL42" s="195"/>
      <c r="UM42" s="195"/>
      <c r="UN42" s="195"/>
      <c r="UO42" s="195"/>
      <c r="UP42" s="195"/>
      <c r="UQ42" s="195"/>
      <c r="UR42" s="195"/>
      <c r="US42" s="195"/>
      <c r="UT42" s="195"/>
      <c r="UU42" s="195"/>
      <c r="UV42" s="195"/>
      <c r="UW42" s="195"/>
      <c r="UX42" s="195"/>
      <c r="UY42" s="195"/>
      <c r="UZ42" s="195"/>
      <c r="VA42" s="195"/>
      <c r="VB42" s="195"/>
      <c r="VC42" s="195"/>
      <c r="VD42" s="195"/>
      <c r="VE42" s="195"/>
      <c r="VF42" s="195"/>
      <c r="VG42" s="195"/>
      <c r="VH42" s="195"/>
      <c r="VI42" s="195"/>
      <c r="VJ42" s="195"/>
      <c r="VK42" s="195"/>
      <c r="VL42" s="195"/>
      <c r="VM42" s="195"/>
      <c r="VN42" s="195"/>
      <c r="VO42" s="195"/>
      <c r="VP42" s="195"/>
      <c r="VQ42" s="195"/>
      <c r="VR42" s="195"/>
      <c r="VS42" s="195"/>
      <c r="VT42" s="195"/>
      <c r="VU42" s="195"/>
      <c r="VV42" s="195"/>
      <c r="VW42" s="195"/>
      <c r="VX42" s="195"/>
      <c r="VY42" s="195"/>
      <c r="VZ42" s="195"/>
      <c r="WA42" s="195"/>
      <c r="WB42" s="195"/>
      <c r="WC42" s="195"/>
      <c r="WD42" s="195"/>
      <c r="WE42" s="195"/>
      <c r="WF42" s="195"/>
      <c r="WG42" s="195"/>
      <c r="WH42" s="195"/>
      <c r="WI42" s="195"/>
      <c r="WJ42" s="195"/>
      <c r="WK42" s="195"/>
      <c r="WL42" s="195"/>
      <c r="WM42" s="195"/>
      <c r="WN42" s="195"/>
      <c r="WO42" s="195"/>
      <c r="WP42" s="195"/>
      <c r="WQ42" s="195"/>
      <c r="WR42" s="195"/>
      <c r="WS42" s="195"/>
      <c r="WT42" s="195"/>
      <c r="WU42" s="195"/>
      <c r="WV42" s="195"/>
      <c r="WW42" s="195"/>
      <c r="WX42" s="195"/>
      <c r="WY42" s="195"/>
      <c r="WZ42" s="195"/>
      <c r="XA42" s="195"/>
      <c r="XB42" s="195"/>
      <c r="XC42" s="195"/>
      <c r="XD42" s="195"/>
      <c r="XE42" s="195"/>
      <c r="XF42" s="195"/>
      <c r="XG42" s="195"/>
      <c r="XH42" s="195"/>
      <c r="XI42" s="195"/>
      <c r="XJ42" s="195"/>
      <c r="XK42" s="195"/>
      <c r="XL42" s="195"/>
      <c r="XM42" s="195"/>
      <c r="XN42" s="195"/>
      <c r="XO42" s="195"/>
      <c r="XP42" s="195"/>
      <c r="XQ42" s="195"/>
      <c r="XR42" s="195"/>
      <c r="XS42" s="195"/>
      <c r="XT42" s="195"/>
      <c r="XU42" s="195"/>
      <c r="XV42" s="195"/>
      <c r="XW42" s="195"/>
      <c r="XX42" s="195"/>
      <c r="XY42" s="195"/>
      <c r="XZ42" s="195"/>
      <c r="YA42" s="195"/>
      <c r="YB42" s="195"/>
      <c r="YC42" s="195"/>
      <c r="YD42" s="195"/>
      <c r="YE42" s="195"/>
      <c r="YF42" s="195"/>
      <c r="YG42" s="195"/>
      <c r="YH42" s="195"/>
      <c r="YI42" s="195"/>
      <c r="YJ42" s="195"/>
      <c r="YK42" s="195"/>
      <c r="YL42" s="195"/>
      <c r="YM42" s="195"/>
      <c r="YN42" s="195"/>
      <c r="YO42" s="195"/>
      <c r="YP42" s="195"/>
      <c r="YQ42" s="195"/>
      <c r="YR42" s="195"/>
      <c r="YS42" s="195"/>
      <c r="YT42" s="195"/>
      <c r="YU42" s="195"/>
      <c r="YV42" s="195"/>
      <c r="YW42" s="195"/>
      <c r="YX42" s="195"/>
      <c r="YY42" s="195"/>
      <c r="YZ42" s="195"/>
      <c r="ZA42" s="195"/>
      <c r="ZB42" s="195"/>
      <c r="ZC42" s="195"/>
      <c r="ZD42" s="195"/>
      <c r="ZE42" s="195"/>
      <c r="ZF42" s="195"/>
      <c r="ZG42" s="195"/>
      <c r="ZH42" s="195"/>
      <c r="ZI42" s="195"/>
      <c r="ZJ42" s="195"/>
      <c r="ZK42" s="195"/>
      <c r="ZL42" s="195"/>
      <c r="ZM42" s="195"/>
      <c r="ZN42" s="195"/>
      <c r="ZO42" s="195"/>
      <c r="ZP42" s="195"/>
      <c r="ZQ42" s="195"/>
      <c r="ZR42" s="195"/>
      <c r="ZS42" s="195"/>
      <c r="ZT42" s="195"/>
      <c r="ZU42" s="195"/>
      <c r="ZV42" s="195"/>
      <c r="ZW42" s="195"/>
      <c r="ZX42" s="195"/>
      <c r="ZY42" s="195"/>
      <c r="ZZ42" s="195"/>
      <c r="AAA42" s="195"/>
      <c r="AAB42" s="195"/>
      <c r="AAC42" s="195"/>
      <c r="AAD42" s="195"/>
      <c r="AAE42" s="195"/>
      <c r="AAF42" s="195"/>
      <c r="AAG42" s="195"/>
      <c r="AAH42" s="195"/>
      <c r="AAI42" s="195"/>
      <c r="AAJ42" s="195"/>
      <c r="AAK42" s="195"/>
      <c r="AAL42" s="195"/>
      <c r="AAM42" s="195"/>
      <c r="AAN42" s="195"/>
      <c r="AAO42" s="195"/>
      <c r="AAP42" s="195"/>
      <c r="AAQ42" s="195"/>
      <c r="AAR42" s="195"/>
      <c r="AAS42" s="195"/>
      <c r="AAT42" s="195"/>
      <c r="AAU42" s="195"/>
      <c r="AAV42" s="195"/>
      <c r="AAW42" s="195"/>
      <c r="AAX42" s="195"/>
      <c r="AAY42" s="195"/>
      <c r="AAZ42" s="195"/>
      <c r="ABA42" s="195"/>
      <c r="ABB42" s="195"/>
      <c r="ABC42" s="195"/>
      <c r="ABD42" s="195"/>
      <c r="ABE42" s="195"/>
      <c r="ABF42" s="195"/>
      <c r="ABG42" s="195"/>
      <c r="ABH42" s="195"/>
      <c r="ABI42" s="195"/>
      <c r="ABJ42" s="195"/>
      <c r="ABK42" s="195"/>
      <c r="ABL42" s="195"/>
      <c r="ABM42" s="195"/>
      <c r="ABN42" s="195"/>
      <c r="ABO42" s="195"/>
      <c r="ABP42" s="195"/>
      <c r="ABQ42" s="195"/>
      <c r="ABR42" s="195"/>
      <c r="ABS42" s="195"/>
      <c r="ABT42" s="195"/>
      <c r="ABU42" s="195"/>
      <c r="ABV42" s="195"/>
      <c r="ABW42" s="195"/>
      <c r="ABX42" s="195"/>
      <c r="ABY42" s="195"/>
      <c r="ABZ42" s="195"/>
      <c r="ACA42" s="195"/>
      <c r="ACB42" s="195"/>
      <c r="ACC42" s="195"/>
      <c r="ACD42" s="195"/>
      <c r="ACE42" s="195"/>
      <c r="ACF42" s="195"/>
      <c r="ACG42" s="195"/>
      <c r="ACH42" s="195"/>
      <c r="ACI42" s="195"/>
      <c r="ACJ42" s="195"/>
      <c r="ACK42" s="195"/>
      <c r="ACL42" s="195"/>
      <c r="ACM42" s="195"/>
      <c r="ACN42" s="195"/>
      <c r="ACO42" s="195"/>
      <c r="ACP42" s="195"/>
      <c r="ACQ42" s="195"/>
      <c r="ACR42" s="195"/>
      <c r="ACS42" s="195"/>
      <c r="ACT42" s="195"/>
      <c r="ACU42" s="195"/>
      <c r="ACV42" s="195"/>
      <c r="ACW42" s="195"/>
      <c r="ACX42" s="195"/>
      <c r="ACY42" s="195"/>
      <c r="ACZ42" s="195"/>
      <c r="ADA42" s="195"/>
      <c r="ADB42" s="195"/>
      <c r="ADC42" s="195"/>
      <c r="ADD42" s="195"/>
      <c r="ADE42" s="195"/>
      <c r="ADF42" s="195"/>
      <c r="ADG42" s="195"/>
      <c r="ADH42" s="195"/>
      <c r="ADI42" s="195"/>
      <c r="ADJ42" s="195"/>
      <c r="ADK42" s="195"/>
      <c r="ADL42" s="195"/>
      <c r="ADM42" s="195"/>
      <c r="ADN42" s="195"/>
      <c r="ADO42" s="195"/>
      <c r="ADP42" s="195"/>
      <c r="ADQ42" s="195"/>
      <c r="ADR42" s="195"/>
      <c r="ADS42" s="195"/>
      <c r="ADT42" s="195"/>
      <c r="ADU42" s="195"/>
      <c r="ADV42" s="195"/>
      <c r="ADW42" s="195"/>
      <c r="ADX42" s="195"/>
      <c r="ADY42" s="195"/>
      <c r="ADZ42" s="195"/>
      <c r="AEA42" s="195"/>
      <c r="AEB42" s="195"/>
      <c r="AEC42" s="195"/>
      <c r="AED42" s="195"/>
      <c r="AEE42" s="195"/>
      <c r="AEF42" s="195"/>
      <c r="AEG42" s="195"/>
      <c r="AEH42" s="195"/>
      <c r="AEI42" s="195"/>
      <c r="AEJ42" s="195"/>
      <c r="AEK42" s="195"/>
      <c r="AEL42" s="195"/>
      <c r="AEM42" s="195"/>
      <c r="AEN42" s="195"/>
      <c r="AEO42" s="195"/>
      <c r="AEP42" s="195"/>
      <c r="AEQ42" s="195"/>
      <c r="AER42" s="195"/>
      <c r="AES42" s="195"/>
      <c r="AET42" s="195"/>
      <c r="AEU42" s="195"/>
      <c r="AEV42" s="195"/>
      <c r="AEW42" s="195"/>
      <c r="AEX42" s="195"/>
      <c r="AEY42" s="195"/>
      <c r="AEZ42" s="195"/>
      <c r="AFA42" s="195"/>
      <c r="AFB42" s="195"/>
      <c r="AFC42" s="195"/>
      <c r="AFD42" s="195"/>
      <c r="AFE42" s="195"/>
      <c r="AFF42" s="195"/>
      <c r="AFG42" s="195"/>
      <c r="AFH42" s="195"/>
      <c r="AFI42" s="195"/>
      <c r="AFJ42" s="195"/>
      <c r="AFK42" s="195"/>
      <c r="AFL42" s="195"/>
      <c r="AFM42" s="195"/>
      <c r="AFN42" s="195"/>
      <c r="AFO42" s="195"/>
      <c r="AFP42" s="195"/>
      <c r="AFQ42" s="195"/>
      <c r="AFR42" s="195"/>
      <c r="AFS42" s="195"/>
      <c r="AFT42" s="195"/>
      <c r="AFU42" s="195"/>
      <c r="AFV42" s="195"/>
      <c r="AFW42" s="195"/>
      <c r="AFX42" s="195"/>
      <c r="AFY42" s="195"/>
      <c r="AFZ42" s="195"/>
      <c r="AGA42" s="195"/>
      <c r="AGB42" s="195"/>
      <c r="AGC42" s="195"/>
      <c r="AGD42" s="195"/>
      <c r="AGE42" s="195"/>
      <c r="AGF42" s="195"/>
      <c r="AGG42" s="195"/>
      <c r="AGH42" s="195"/>
      <c r="AGI42" s="195"/>
      <c r="AGJ42" s="195"/>
      <c r="AGK42" s="195"/>
      <c r="AGL42" s="195"/>
      <c r="AGM42" s="195"/>
      <c r="AGN42" s="195"/>
      <c r="AGO42" s="195"/>
      <c r="AGP42" s="195"/>
      <c r="AGQ42" s="195"/>
      <c r="AGR42" s="195"/>
      <c r="AGS42" s="195"/>
      <c r="AGT42" s="195"/>
      <c r="AGU42" s="195"/>
      <c r="AGV42" s="195"/>
      <c r="AGW42" s="195"/>
      <c r="AGX42" s="195"/>
      <c r="AGY42" s="195"/>
      <c r="AGZ42" s="195"/>
      <c r="AHA42" s="195"/>
      <c r="AHB42" s="195"/>
      <c r="AHC42" s="195"/>
      <c r="AHD42" s="195"/>
      <c r="AHE42" s="195"/>
      <c r="AHF42" s="195"/>
      <c r="AHG42" s="195"/>
      <c r="AHH42" s="195"/>
      <c r="AHI42" s="195"/>
      <c r="AHJ42" s="195"/>
      <c r="AHK42" s="195"/>
      <c r="AHL42" s="195"/>
      <c r="AHM42" s="195"/>
      <c r="AHN42" s="195"/>
      <c r="AHO42" s="195"/>
      <c r="AHP42" s="195"/>
      <c r="AHQ42" s="195"/>
      <c r="AHR42" s="195"/>
      <c r="AHS42" s="195"/>
      <c r="AHT42" s="195"/>
      <c r="AHU42" s="195"/>
      <c r="AHV42" s="195"/>
      <c r="AHW42" s="195"/>
      <c r="AHX42" s="195"/>
      <c r="AHY42" s="195"/>
      <c r="AHZ42" s="195"/>
      <c r="AIA42" s="195"/>
      <c r="AIB42" s="195"/>
      <c r="AIC42" s="195"/>
      <c r="AID42" s="195"/>
      <c r="AIE42" s="195"/>
      <c r="AIF42" s="195"/>
      <c r="AIG42" s="195"/>
      <c r="AIH42" s="195"/>
      <c r="AII42" s="195"/>
    </row>
    <row r="43" spans="1:919" ht="12.75" customHeight="1">
      <c r="A43" s="188">
        <v>0.23</v>
      </c>
      <c r="B43" s="188">
        <v>0.87</v>
      </c>
      <c r="C43" s="188">
        <f t="shared" ref="C43:D74" si="1">IF(LEN(I43)=0,"",1+ABS((I43*A43)/LEN(I43))+A43)</f>
        <v>3.07</v>
      </c>
      <c r="D43" s="188" t="str">
        <f t="shared" si="1"/>
        <v/>
      </c>
      <c r="E43" s="420" t="s">
        <v>2137</v>
      </c>
      <c r="F43" s="443" t="s">
        <v>2138</v>
      </c>
      <c r="G43" s="433"/>
      <c r="H43" s="454" t="s">
        <v>2139</v>
      </c>
      <c r="I43" s="436">
        <v>8</v>
      </c>
      <c r="J43" s="436"/>
    </row>
    <row r="44" spans="1:919" ht="12.75" customHeight="1">
      <c r="A44" s="188">
        <v>0.24</v>
      </c>
      <c r="B44" s="188">
        <v>0.88</v>
      </c>
      <c r="C44" s="188" t="str">
        <f t="shared" si="1"/>
        <v/>
      </c>
      <c r="D44" s="188" t="str">
        <f t="shared" si="1"/>
        <v/>
      </c>
      <c r="E44" s="420" t="s">
        <v>2140</v>
      </c>
      <c r="F44" s="443" t="s">
        <v>2141</v>
      </c>
      <c r="G44" s="433"/>
      <c r="H44" s="454" t="s">
        <v>198</v>
      </c>
      <c r="I44" s="436"/>
      <c r="J44" s="436"/>
    </row>
    <row r="45" spans="1:919" ht="12.75" customHeight="1">
      <c r="A45" s="188">
        <v>0.25</v>
      </c>
      <c r="B45" s="188">
        <v>0.89</v>
      </c>
      <c r="C45" s="188">
        <f t="shared" si="1"/>
        <v>942048.5</v>
      </c>
      <c r="D45" s="188">
        <f t="shared" si="1"/>
        <v>2833490.55125</v>
      </c>
      <c r="E45" s="440" t="s">
        <v>2142</v>
      </c>
      <c r="F45" s="424" t="s">
        <v>2143</v>
      </c>
      <c r="G45" s="433"/>
      <c r="H45" s="418" t="s">
        <v>2144</v>
      </c>
      <c r="I45" s="536">
        <f>IFERROR(IF(AND(I20,I21,I24,I27,I33,I34,I35,I36)="","",SUM(I20,I21,I24,I27,I33,I34,I35,I36)),"")</f>
        <v>30145512</v>
      </c>
      <c r="J45" s="536">
        <f>IFERROR(IF(AND(J20,J21,J24,J27,J33,J34,J35,J36)="","",SUM(J20,J21,J24,J27,J33,J34,J35,J36)),"")</f>
        <v>25469561</v>
      </c>
    </row>
    <row r="46" spans="1:919" ht="12.75" customHeight="1">
      <c r="A46" s="188">
        <v>0.26</v>
      </c>
      <c r="B46" s="188">
        <v>0.9</v>
      </c>
      <c r="C46" s="188" t="str">
        <f t="shared" si="1"/>
        <v/>
      </c>
      <c r="D46" s="188" t="str">
        <f t="shared" si="1"/>
        <v/>
      </c>
      <c r="E46" s="420"/>
      <c r="F46" s="425"/>
      <c r="G46" s="433"/>
      <c r="H46" s="433"/>
      <c r="I46" s="435"/>
      <c r="J46" s="435"/>
    </row>
    <row r="47" spans="1:919" ht="12.75" customHeight="1">
      <c r="A47" s="188">
        <v>0.27</v>
      </c>
      <c r="B47" s="188">
        <v>0.91</v>
      </c>
      <c r="C47" s="188" t="str">
        <f t="shared" si="1"/>
        <v/>
      </c>
      <c r="D47" s="188" t="str">
        <f t="shared" si="1"/>
        <v/>
      </c>
      <c r="E47" s="420"/>
      <c r="F47" s="424" t="s">
        <v>2145</v>
      </c>
      <c r="G47" s="433"/>
      <c r="H47" s="433"/>
      <c r="I47" s="435"/>
      <c r="J47" s="435"/>
    </row>
    <row r="48" spans="1:919" ht="12.75" customHeight="1">
      <c r="A48" s="188">
        <v>0.28000000000000003</v>
      </c>
      <c r="B48" s="188">
        <v>0.92</v>
      </c>
      <c r="C48" s="188" t="str">
        <f t="shared" si="1"/>
        <v/>
      </c>
      <c r="D48" s="188" t="str">
        <f t="shared" si="1"/>
        <v/>
      </c>
      <c r="E48" s="420" t="s">
        <v>2091</v>
      </c>
      <c r="F48" s="425" t="s">
        <v>2146</v>
      </c>
      <c r="G48" s="433"/>
      <c r="H48" s="454" t="s">
        <v>223</v>
      </c>
      <c r="I48" s="436"/>
      <c r="J48" s="436"/>
    </row>
    <row r="49" spans="1:10" ht="12.75" customHeight="1">
      <c r="A49" s="188">
        <v>0.28999999999999998</v>
      </c>
      <c r="B49" s="188">
        <v>0.93</v>
      </c>
      <c r="C49" s="188" t="str">
        <f t="shared" si="1"/>
        <v/>
      </c>
      <c r="D49" s="188" t="str">
        <f t="shared" si="1"/>
        <v/>
      </c>
      <c r="E49" s="420" t="s">
        <v>2093</v>
      </c>
      <c r="F49" s="425" t="s">
        <v>2147</v>
      </c>
      <c r="G49" s="433"/>
      <c r="H49" s="454" t="s">
        <v>2148</v>
      </c>
      <c r="I49" s="435" t="str">
        <f>IFERROR(IF(AND(I50,I51)="","",SUM(I50,I51)),"")</f>
        <v/>
      </c>
      <c r="J49" s="435" t="str">
        <f>IFERROR(IF(AND(J50,J51)="","",SUM(J50,J51)),"")</f>
        <v/>
      </c>
    </row>
    <row r="50" spans="1:10" ht="12.75" customHeight="1">
      <c r="A50" s="188">
        <v>0.3</v>
      </c>
      <c r="B50" s="188">
        <v>0.94</v>
      </c>
      <c r="C50" s="188" t="str">
        <f t="shared" si="1"/>
        <v/>
      </c>
      <c r="D50" s="188" t="str">
        <f t="shared" si="1"/>
        <v/>
      </c>
      <c r="E50" s="420" t="s">
        <v>2096</v>
      </c>
      <c r="F50" s="443" t="s">
        <v>2149</v>
      </c>
      <c r="G50" s="433"/>
      <c r="H50" s="454" t="s">
        <v>624</v>
      </c>
      <c r="I50" s="436"/>
      <c r="J50" s="436"/>
    </row>
    <row r="51" spans="1:10" ht="12.75" customHeight="1">
      <c r="A51" s="188">
        <v>0.31</v>
      </c>
      <c r="B51" s="188">
        <v>0.95</v>
      </c>
      <c r="C51" s="188" t="str">
        <f t="shared" si="1"/>
        <v/>
      </c>
      <c r="D51" s="188" t="str">
        <f t="shared" si="1"/>
        <v/>
      </c>
      <c r="E51" s="420" t="s">
        <v>2098</v>
      </c>
      <c r="F51" s="443" t="s">
        <v>2150</v>
      </c>
      <c r="G51" s="433"/>
      <c r="H51" s="454" t="s">
        <v>285</v>
      </c>
      <c r="I51" s="436"/>
      <c r="J51" s="436"/>
    </row>
    <row r="52" spans="1:10" ht="12.75" customHeight="1">
      <c r="A52" s="188">
        <v>0.32</v>
      </c>
      <c r="B52" s="188">
        <v>0.96</v>
      </c>
      <c r="C52" s="188">
        <f t="shared" si="1"/>
        <v>23817.16</v>
      </c>
      <c r="D52" s="188" t="str">
        <f t="shared" si="1"/>
        <v/>
      </c>
      <c r="E52" s="441" t="s">
        <v>2101</v>
      </c>
      <c r="F52" s="444" t="s">
        <v>2151</v>
      </c>
      <c r="G52" s="451"/>
      <c r="H52" s="455" t="s">
        <v>297</v>
      </c>
      <c r="I52" s="457">
        <v>446547</v>
      </c>
      <c r="J52" s="457"/>
    </row>
    <row r="53" spans="1:10" ht="12.75" customHeight="1">
      <c r="A53" s="188">
        <v>0.33</v>
      </c>
      <c r="B53" s="188">
        <v>0.97</v>
      </c>
      <c r="C53" s="188" t="str">
        <f t="shared" si="1"/>
        <v/>
      </c>
      <c r="D53" s="188" t="str">
        <f t="shared" si="1"/>
        <v/>
      </c>
      <c r="E53" s="420" t="s">
        <v>2108</v>
      </c>
      <c r="F53" s="425" t="s">
        <v>2152</v>
      </c>
      <c r="G53" s="433"/>
      <c r="H53" s="454" t="s">
        <v>603</v>
      </c>
      <c r="I53" s="436"/>
      <c r="J53" s="436"/>
    </row>
    <row r="54" spans="1:10" ht="12.75" customHeight="1">
      <c r="A54" s="188">
        <v>0.34</v>
      </c>
      <c r="B54" s="188">
        <v>0.98</v>
      </c>
      <c r="C54" s="188" t="str">
        <f t="shared" si="1"/>
        <v/>
      </c>
      <c r="D54" s="188" t="str">
        <f t="shared" si="1"/>
        <v/>
      </c>
      <c r="E54" s="420" t="s">
        <v>2122</v>
      </c>
      <c r="F54" s="425" t="s">
        <v>2153</v>
      </c>
      <c r="G54" s="433"/>
      <c r="H54" s="454" t="s">
        <v>2154</v>
      </c>
      <c r="I54" s="436"/>
      <c r="J54" s="436"/>
    </row>
    <row r="55" spans="1:10" ht="12.75" customHeight="1">
      <c r="A55" s="188">
        <v>0.35</v>
      </c>
      <c r="B55" s="188">
        <v>0.99</v>
      </c>
      <c r="C55" s="188">
        <f t="shared" si="1"/>
        <v>8444.2250000000004</v>
      </c>
      <c r="D55" s="188">
        <f t="shared" si="1"/>
        <v>40594.629999999997</v>
      </c>
      <c r="E55" s="420" t="s">
        <v>2125</v>
      </c>
      <c r="F55" s="445" t="s">
        <v>2155</v>
      </c>
      <c r="G55" s="433"/>
      <c r="H55" s="454" t="s">
        <v>317</v>
      </c>
      <c r="I55" s="435">
        <f>IFERROR(IF(AND(I56:I60)="","",SUM(I56:I60)),"")</f>
        <v>144735</v>
      </c>
      <c r="J55" s="435">
        <f>IFERROR(IF(AND(J56:J60)="","",SUM(J56:J60)),"")</f>
        <v>246016</v>
      </c>
    </row>
    <row r="56" spans="1:10" ht="12.75" customHeight="1">
      <c r="A56" s="188">
        <v>0.36</v>
      </c>
      <c r="B56" s="188">
        <v>1</v>
      </c>
      <c r="C56" s="188" t="str">
        <f t="shared" si="1"/>
        <v/>
      </c>
      <c r="D56" s="188" t="str">
        <f t="shared" si="1"/>
        <v/>
      </c>
      <c r="E56" s="420" t="s">
        <v>2156</v>
      </c>
      <c r="F56" s="443" t="s">
        <v>2157</v>
      </c>
      <c r="G56" s="433"/>
      <c r="H56" s="454" t="s">
        <v>2158</v>
      </c>
      <c r="I56" s="436"/>
      <c r="J56" s="436"/>
    </row>
    <row r="57" spans="1:10" ht="12.75" customHeight="1">
      <c r="A57" s="188">
        <v>0.37</v>
      </c>
      <c r="B57" s="188">
        <v>1.01</v>
      </c>
      <c r="C57" s="188">
        <f t="shared" si="1"/>
        <v>4714.4299999999994</v>
      </c>
      <c r="D57" s="188">
        <f t="shared" si="1"/>
        <v>11710.132</v>
      </c>
      <c r="E57" s="420" t="s">
        <v>2159</v>
      </c>
      <c r="F57" s="443" t="s">
        <v>2160</v>
      </c>
      <c r="G57" s="433"/>
      <c r="H57" s="454" t="s">
        <v>326</v>
      </c>
      <c r="I57" s="436">
        <v>63690</v>
      </c>
      <c r="J57" s="436">
        <v>57961</v>
      </c>
    </row>
    <row r="58" spans="1:10" ht="12.75" customHeight="1">
      <c r="A58" s="188">
        <v>0.38</v>
      </c>
      <c r="B58" s="188">
        <v>1.02</v>
      </c>
      <c r="C58" s="188">
        <f t="shared" si="1"/>
        <v>192.71</v>
      </c>
      <c r="D58" s="188">
        <f t="shared" si="1"/>
        <v>463.06</v>
      </c>
      <c r="E58" s="420" t="s">
        <v>2161</v>
      </c>
      <c r="F58" s="443" t="s">
        <v>2162</v>
      </c>
      <c r="G58" s="433"/>
      <c r="H58" s="454" t="s">
        <v>334</v>
      </c>
      <c r="I58" s="436">
        <v>2014</v>
      </c>
      <c r="J58" s="436">
        <v>1808</v>
      </c>
    </row>
    <row r="59" spans="1:10" ht="12.75" customHeight="1">
      <c r="A59" s="188">
        <v>0.39</v>
      </c>
      <c r="B59" s="188">
        <v>1.03</v>
      </c>
      <c r="C59" s="188">
        <f t="shared" si="1"/>
        <v>4993.4679999999998</v>
      </c>
      <c r="D59" s="188">
        <f t="shared" si="1"/>
        <v>5215.8899999999994</v>
      </c>
      <c r="E59" s="420" t="s">
        <v>2163</v>
      </c>
      <c r="F59" s="443" t="s">
        <v>2138</v>
      </c>
      <c r="G59" s="433"/>
      <c r="H59" s="454" t="s">
        <v>343</v>
      </c>
      <c r="I59" s="436">
        <v>64001</v>
      </c>
      <c r="J59" s="436">
        <v>25310</v>
      </c>
    </row>
    <row r="60" spans="1:10" ht="12.75" customHeight="1">
      <c r="A60" s="188">
        <v>0.4</v>
      </c>
      <c r="B60" s="188">
        <v>1.04</v>
      </c>
      <c r="C60" s="188">
        <f t="shared" si="1"/>
        <v>1203.8000000000002</v>
      </c>
      <c r="D60" s="188">
        <f t="shared" si="1"/>
        <v>27897.78666666667</v>
      </c>
      <c r="E60" s="420" t="s">
        <v>2164</v>
      </c>
      <c r="F60" s="443" t="s">
        <v>2165</v>
      </c>
      <c r="G60" s="433"/>
      <c r="H60" s="454" t="s">
        <v>352</v>
      </c>
      <c r="I60" s="436">
        <v>15030</v>
      </c>
      <c r="J60" s="436">
        <v>160937</v>
      </c>
    </row>
    <row r="61" spans="1:10" ht="12.75" customHeight="1">
      <c r="A61" s="188">
        <v>0.41</v>
      </c>
      <c r="B61" s="188">
        <v>1.05</v>
      </c>
      <c r="C61" s="188">
        <f t="shared" si="1"/>
        <v>40405.68</v>
      </c>
      <c r="D61" s="188">
        <f t="shared" si="1"/>
        <v>43054.850000000006</v>
      </c>
      <c r="E61" s="442" t="s">
        <v>2166</v>
      </c>
      <c r="F61" s="446" t="s">
        <v>2167</v>
      </c>
      <c r="G61" s="451"/>
      <c r="H61" s="467" t="s">
        <v>361</v>
      </c>
      <c r="I61" s="540">
        <f>IFERROR(IF(AND(I48,I49,I52,I53,I54,I55)="","",SUM(I48,I49,I52,I53,I54,I55)),"")</f>
        <v>591282</v>
      </c>
      <c r="J61" s="540">
        <f>IFERROR(IF(AND(J48,J49,J52,J53,J54,J55)="","",SUM(J48,J49,J52,J53,J54,J55)),"")</f>
        <v>246016</v>
      </c>
    </row>
    <row r="62" spans="1:10" ht="12.75" customHeight="1">
      <c r="A62" s="188">
        <v>0.42</v>
      </c>
      <c r="B62" s="188">
        <v>1.06</v>
      </c>
      <c r="C62" s="188" t="str">
        <f t="shared" si="1"/>
        <v/>
      </c>
      <c r="D62" s="188" t="str">
        <f t="shared" si="1"/>
        <v/>
      </c>
      <c r="E62" s="420"/>
      <c r="F62" s="425"/>
      <c r="G62" s="433"/>
      <c r="H62" s="433"/>
      <c r="I62" s="435"/>
      <c r="J62" s="435"/>
    </row>
    <row r="63" spans="1:10" ht="12.75" customHeight="1">
      <c r="A63" s="188">
        <v>0.43</v>
      </c>
      <c r="B63" s="188">
        <v>1.07</v>
      </c>
      <c r="C63" s="188" t="str">
        <f t="shared" si="1"/>
        <v/>
      </c>
      <c r="D63" s="188" t="str">
        <f t="shared" si="1"/>
        <v/>
      </c>
      <c r="E63" s="420"/>
      <c r="F63" s="447" t="s">
        <v>2168</v>
      </c>
      <c r="G63" s="433"/>
      <c r="H63" s="433"/>
      <c r="I63" s="435"/>
      <c r="J63" s="435"/>
    </row>
    <row r="64" spans="1:10" ht="12.75" customHeight="1">
      <c r="A64" s="188">
        <v>0.44</v>
      </c>
      <c r="B64" s="188">
        <v>1.08</v>
      </c>
      <c r="C64" s="188">
        <f t="shared" si="1"/>
        <v>4387164.33</v>
      </c>
      <c r="D64" s="188">
        <f t="shared" si="1"/>
        <v>10768492.810000001</v>
      </c>
      <c r="E64" s="420" t="s">
        <v>2091</v>
      </c>
      <c r="F64" s="445" t="s">
        <v>2169</v>
      </c>
      <c r="G64" s="433"/>
      <c r="H64" s="454" t="s">
        <v>369</v>
      </c>
      <c r="I64" s="435">
        <f>IFERROR(IF(AND(I65,I66)="","",SUM(I65,I66)),"")</f>
        <v>79766598</v>
      </c>
      <c r="J64" s="435">
        <f>IFERROR(IF(AND(J65,J66)="","",SUM(J65,J66)),"")</f>
        <v>79766598</v>
      </c>
    </row>
    <row r="65" spans="1:10" ht="12.75" customHeight="1">
      <c r="A65" s="188">
        <v>0.45</v>
      </c>
      <c r="B65" s="188">
        <v>1.0900000000000001</v>
      </c>
      <c r="C65" s="188">
        <f t="shared" si="1"/>
        <v>4486872.5875000004</v>
      </c>
      <c r="D65" s="188">
        <f t="shared" si="1"/>
        <v>10868201.067500001</v>
      </c>
      <c r="E65" s="420" t="s">
        <v>2170</v>
      </c>
      <c r="F65" s="443" t="s">
        <v>2171</v>
      </c>
      <c r="G65" s="433"/>
      <c r="H65" s="454" t="s">
        <v>377</v>
      </c>
      <c r="I65" s="436">
        <v>79766598</v>
      </c>
      <c r="J65" s="436">
        <v>79766598</v>
      </c>
    </row>
    <row r="66" spans="1:10" ht="12.75" customHeight="1">
      <c r="A66" s="188">
        <v>0.46</v>
      </c>
      <c r="B66" s="188">
        <v>1.1000000000000001</v>
      </c>
      <c r="C66" s="188" t="str">
        <f t="shared" si="1"/>
        <v/>
      </c>
      <c r="D66" s="188" t="str">
        <f t="shared" si="1"/>
        <v/>
      </c>
      <c r="E66" s="420" t="s">
        <v>2172</v>
      </c>
      <c r="F66" s="443" t="s">
        <v>2173</v>
      </c>
      <c r="G66" s="433"/>
      <c r="H66" s="454" t="s">
        <v>2174</v>
      </c>
      <c r="I66" s="436"/>
      <c r="J66" s="436"/>
    </row>
    <row r="67" spans="1:10" ht="12.75" customHeight="1">
      <c r="A67" s="188">
        <v>0.47</v>
      </c>
      <c r="B67" s="188">
        <v>1.1100000000000001</v>
      </c>
      <c r="C67" s="188" t="str">
        <f t="shared" si="1"/>
        <v/>
      </c>
      <c r="D67" s="188" t="str">
        <f t="shared" si="1"/>
        <v/>
      </c>
      <c r="E67" s="420" t="s">
        <v>2093</v>
      </c>
      <c r="F67" s="448" t="s">
        <v>2175</v>
      </c>
      <c r="G67" s="433"/>
      <c r="H67" s="454" t="s">
        <v>392</v>
      </c>
      <c r="I67" s="436"/>
      <c r="J67" s="436"/>
    </row>
    <row r="68" spans="1:10" ht="12.75" customHeight="1">
      <c r="A68" s="188">
        <v>0.48</v>
      </c>
      <c r="B68" s="188">
        <v>1.1200000000000001</v>
      </c>
      <c r="C68" s="188">
        <f t="shared" si="1"/>
        <v>1728.84</v>
      </c>
      <c r="D68" s="188">
        <f t="shared" si="1"/>
        <v>4838.7280000000001</v>
      </c>
      <c r="E68" s="441" t="s">
        <v>2101</v>
      </c>
      <c r="F68" s="449" t="s">
        <v>2176</v>
      </c>
      <c r="G68" s="451"/>
      <c r="H68" s="455" t="s">
        <v>399</v>
      </c>
      <c r="I68" s="458">
        <f>IFERROR(IF(AND(I69:I70)="","",SUM(I69:I70)),"")</f>
        <v>-21592</v>
      </c>
      <c r="J68" s="458">
        <f>IFERROR(IF(AND(J69:J70)="","",SUM(J69:J70)),"")</f>
        <v>21592</v>
      </c>
    </row>
    <row r="69" spans="1:10" s="189" customFormat="1" ht="12.75" customHeight="1">
      <c r="A69" s="188">
        <v>0.49</v>
      </c>
      <c r="B69" s="188">
        <v>1.1299999999999999</v>
      </c>
      <c r="C69" s="188" t="str">
        <f t="shared" si="1"/>
        <v/>
      </c>
      <c r="D69" s="188" t="str">
        <f t="shared" si="1"/>
        <v/>
      </c>
      <c r="E69" s="420" t="s">
        <v>2104</v>
      </c>
      <c r="F69" s="443" t="s">
        <v>2177</v>
      </c>
      <c r="G69" s="433"/>
      <c r="H69" s="454" t="s">
        <v>407</v>
      </c>
      <c r="I69" s="436"/>
      <c r="J69" s="436"/>
    </row>
    <row r="70" spans="1:10" s="189" customFormat="1" ht="12.75" customHeight="1">
      <c r="A70" s="188">
        <v>0.499999999999999</v>
      </c>
      <c r="B70" s="188">
        <v>1.1399999999999999</v>
      </c>
      <c r="C70" s="188">
        <f t="shared" si="1"/>
        <v>1800.8333333333296</v>
      </c>
      <c r="D70" s="188">
        <f t="shared" si="1"/>
        <v>4925.116</v>
      </c>
      <c r="E70" s="420" t="s">
        <v>2106</v>
      </c>
      <c r="F70" s="443" t="s">
        <v>2178</v>
      </c>
      <c r="G70" s="433"/>
      <c r="H70" s="454" t="s">
        <v>413</v>
      </c>
      <c r="I70" s="436">
        <v>-21592</v>
      </c>
      <c r="J70" s="436">
        <v>21592</v>
      </c>
    </row>
    <row r="71" spans="1:10" s="189" customFormat="1">
      <c r="A71" s="188">
        <v>0.50999999999999901</v>
      </c>
      <c r="B71" s="188">
        <v>1.1499999999999999</v>
      </c>
      <c r="C71" s="188" t="str">
        <f t="shared" si="1"/>
        <v/>
      </c>
      <c r="D71" s="188" t="str">
        <f t="shared" si="1"/>
        <v/>
      </c>
      <c r="E71" s="420" t="s">
        <v>2108</v>
      </c>
      <c r="F71" s="425" t="s">
        <v>2179</v>
      </c>
      <c r="G71" s="433"/>
      <c r="H71" s="454" t="s">
        <v>422</v>
      </c>
      <c r="I71" s="435" t="str">
        <f>IFERROR(IF(AND(I72:I74)="","",SUM(I72:I74)),"")</f>
        <v/>
      </c>
      <c r="J71" s="435" t="str">
        <f>IFERROR(IF(AND(J72:J74)="","",SUM(J72:J74)),"")</f>
        <v/>
      </c>
    </row>
    <row r="72" spans="1:10" s="189" customFormat="1" ht="25.5">
      <c r="A72" s="188">
        <v>0.51999999999999902</v>
      </c>
      <c r="B72" s="188">
        <v>1.1599999999999999</v>
      </c>
      <c r="C72" s="188" t="str">
        <f t="shared" si="1"/>
        <v/>
      </c>
      <c r="D72" s="188" t="str">
        <f t="shared" si="1"/>
        <v/>
      </c>
      <c r="E72" s="420" t="s">
        <v>2110</v>
      </c>
      <c r="F72" s="443" t="s">
        <v>2180</v>
      </c>
      <c r="G72" s="433"/>
      <c r="H72" s="454" t="s">
        <v>2181</v>
      </c>
      <c r="I72" s="436"/>
      <c r="J72" s="436"/>
    </row>
    <row r="73" spans="1:10" s="189" customFormat="1" ht="12.75" customHeight="1">
      <c r="A73" s="188">
        <v>0.52999999999999903</v>
      </c>
      <c r="B73" s="188">
        <v>1.17</v>
      </c>
      <c r="C73" s="188" t="str">
        <f t="shared" si="1"/>
        <v/>
      </c>
      <c r="D73" s="188" t="str">
        <f t="shared" si="1"/>
        <v/>
      </c>
      <c r="E73" s="420" t="s">
        <v>2113</v>
      </c>
      <c r="F73" s="443" t="s">
        <v>2182</v>
      </c>
      <c r="G73" s="433"/>
      <c r="H73" s="454" t="s">
        <v>428</v>
      </c>
      <c r="I73" s="436"/>
      <c r="J73" s="436"/>
    </row>
    <row r="74" spans="1:10" s="189" customFormat="1" ht="12.75" customHeight="1">
      <c r="A74" s="188">
        <v>0.53999999999999904</v>
      </c>
      <c r="B74" s="188">
        <v>1.18</v>
      </c>
      <c r="C74" s="188" t="str">
        <f t="shared" si="1"/>
        <v/>
      </c>
      <c r="D74" s="188" t="str">
        <f t="shared" si="1"/>
        <v/>
      </c>
      <c r="E74" s="420" t="s">
        <v>2116</v>
      </c>
      <c r="F74" s="443" t="s">
        <v>2183</v>
      </c>
      <c r="G74" s="433"/>
      <c r="H74" s="454" t="s">
        <v>436</v>
      </c>
      <c r="I74" s="436"/>
      <c r="J74" s="436"/>
    </row>
    <row r="75" spans="1:10" s="189" customFormat="1" ht="12.75" customHeight="1">
      <c r="A75" s="188">
        <v>0.53</v>
      </c>
      <c r="B75" s="188">
        <v>1.19</v>
      </c>
      <c r="C75" s="188">
        <f t="shared" ref="C75:D80" si="2">IF(LEN(I75)=0,"",1+ABS((I75*A75)/LEN(I75))+A75)</f>
        <v>895922.27500000002</v>
      </c>
      <c r="D75" s="188">
        <f t="shared" si="2"/>
        <v>2244331.92625</v>
      </c>
      <c r="E75" s="420" t="s">
        <v>2122</v>
      </c>
      <c r="F75" s="425" t="s">
        <v>2184</v>
      </c>
      <c r="G75" s="452"/>
      <c r="H75" s="454" t="s">
        <v>443</v>
      </c>
      <c r="I75" s="435">
        <f>IFERROR(IF(AND(I76:I77)="","",SUM(I76:I77)),"")</f>
        <v>13523332</v>
      </c>
      <c r="J75" s="435">
        <f>IFERROR(IF(AND(J76:J77)="","",SUM(J76:J77)),"")</f>
        <v>15087931</v>
      </c>
    </row>
    <row r="76" spans="1:10" s="189" customFormat="1" ht="12.75" customHeight="1">
      <c r="A76" s="188">
        <v>0.54</v>
      </c>
      <c r="B76" s="188">
        <v>1.2</v>
      </c>
      <c r="C76" s="188">
        <f t="shared" si="2"/>
        <v>709148.59428571432</v>
      </c>
      <c r="D76" s="188">
        <f t="shared" si="2"/>
        <v>1609492.4285714284</v>
      </c>
      <c r="E76" s="420" t="s">
        <v>2185</v>
      </c>
      <c r="F76" s="443" t="s">
        <v>2186</v>
      </c>
      <c r="G76" s="452"/>
      <c r="H76" s="454" t="s">
        <v>450</v>
      </c>
      <c r="I76" s="436">
        <v>9192647</v>
      </c>
      <c r="J76" s="436">
        <v>9388693</v>
      </c>
    </row>
    <row r="77" spans="1:10" s="189" customFormat="1" ht="12.75" customHeight="1">
      <c r="A77" s="188">
        <v>0.55000000000000004</v>
      </c>
      <c r="B77" s="188">
        <v>1.21</v>
      </c>
      <c r="C77" s="188">
        <f t="shared" si="2"/>
        <v>340269.65714285715</v>
      </c>
      <c r="D77" s="188">
        <f t="shared" si="2"/>
        <v>985156.20714285702</v>
      </c>
      <c r="E77" s="420" t="s">
        <v>2187</v>
      </c>
      <c r="F77" s="443" t="s">
        <v>2188</v>
      </c>
      <c r="G77" s="452"/>
      <c r="H77" s="454" t="s">
        <v>261</v>
      </c>
      <c r="I77" s="436">
        <v>4330685</v>
      </c>
      <c r="J77" s="436">
        <v>5699238</v>
      </c>
    </row>
    <row r="78" spans="1:10" s="189" customFormat="1" ht="12.75" customHeight="1">
      <c r="A78" s="188">
        <v>0.56000000000000005</v>
      </c>
      <c r="B78" s="188">
        <v>1.22</v>
      </c>
      <c r="C78" s="188">
        <f t="shared" si="2"/>
        <v>4459989.12</v>
      </c>
      <c r="D78" s="188">
        <f t="shared" si="2"/>
        <v>10615434.5</v>
      </c>
      <c r="E78" s="420" t="s">
        <v>2125</v>
      </c>
      <c r="F78" s="425" t="s">
        <v>2189</v>
      </c>
      <c r="G78" s="452"/>
      <c r="H78" s="454" t="s">
        <v>458</v>
      </c>
      <c r="I78" s="435">
        <f>IFERROR(IF(AND(I79:I80)="","",SUM(I79:I80)),"")</f>
        <v>63714108</v>
      </c>
      <c r="J78" s="435">
        <f>IFERROR(IF(AND(J79:J80)="","",SUM(J79:J80)),"")</f>
        <v>69609392</v>
      </c>
    </row>
    <row r="79" spans="1:10" s="189" customFormat="1" ht="12.75" customHeight="1">
      <c r="A79" s="188">
        <v>0.56999999999999995</v>
      </c>
      <c r="B79" s="188">
        <v>1.23</v>
      </c>
      <c r="C79" s="188">
        <f t="shared" si="2"/>
        <v>4539631.7649999997</v>
      </c>
      <c r="D79" s="188">
        <f t="shared" si="2"/>
        <v>10702446.25</v>
      </c>
      <c r="E79" s="420" t="s">
        <v>2156</v>
      </c>
      <c r="F79" s="443" t="s">
        <v>2190</v>
      </c>
      <c r="G79" s="452"/>
      <c r="H79" s="454" t="s">
        <v>463</v>
      </c>
      <c r="I79" s="436">
        <v>63714108</v>
      </c>
      <c r="J79" s="436">
        <v>69609392</v>
      </c>
    </row>
    <row r="80" spans="1:10" s="189" customFormat="1" ht="12.75" customHeight="1">
      <c r="A80" s="188">
        <v>0.57999999999999996</v>
      </c>
      <c r="B80" s="188">
        <v>1.24</v>
      </c>
      <c r="C80" s="188" t="str">
        <f t="shared" si="2"/>
        <v/>
      </c>
      <c r="D80" s="188" t="str">
        <f t="shared" si="2"/>
        <v/>
      </c>
      <c r="E80" s="421" t="s">
        <v>2159</v>
      </c>
      <c r="F80" s="450" t="s">
        <v>2191</v>
      </c>
      <c r="G80" s="453"/>
      <c r="H80" s="456" t="s">
        <v>2192</v>
      </c>
      <c r="I80" s="438"/>
      <c r="J80" s="438"/>
    </row>
    <row r="81" spans="1:10" s="189" customFormat="1" ht="16.5" customHeight="1">
      <c r="A81" s="188"/>
      <c r="B81" s="188"/>
      <c r="C81" s="188"/>
      <c r="D81" s="188"/>
      <c r="E81" s="410"/>
      <c r="F81" s="411"/>
      <c r="G81" s="398"/>
      <c r="H81" s="398"/>
      <c r="I81" s="400"/>
      <c r="J81" s="400"/>
    </row>
    <row r="82" spans="1:10" s="391" customFormat="1" ht="17.25" customHeight="1">
      <c r="E82" s="392" t="str">
        <f>E40</f>
        <v>Kontrolni broj: 1013843295</v>
      </c>
      <c r="J82" s="393" t="s">
        <v>2193</v>
      </c>
    </row>
    <row r="83" spans="1:10" s="189" customFormat="1" ht="25.5">
      <c r="A83" s="188"/>
      <c r="B83" s="188"/>
      <c r="C83" s="188"/>
      <c r="D83" s="188"/>
      <c r="E83" s="418" t="s">
        <v>2085</v>
      </c>
      <c r="F83" s="422" t="s">
        <v>2050</v>
      </c>
      <c r="G83" s="422" t="s">
        <v>2086</v>
      </c>
      <c r="H83" s="431" t="s">
        <v>2087</v>
      </c>
      <c r="I83" s="431" t="s">
        <v>2088</v>
      </c>
      <c r="J83" s="431" t="s">
        <v>2089</v>
      </c>
    </row>
    <row r="84" spans="1:10" s="189" customFormat="1" ht="12.75" customHeight="1">
      <c r="A84" s="188"/>
      <c r="B84" s="188"/>
      <c r="C84" s="188"/>
      <c r="D84" s="188"/>
      <c r="E84" s="419">
        <v>1</v>
      </c>
      <c r="F84" s="423">
        <v>2</v>
      </c>
      <c r="G84" s="423">
        <v>3</v>
      </c>
      <c r="H84" s="432">
        <v>4</v>
      </c>
      <c r="I84" s="432">
        <v>5</v>
      </c>
      <c r="J84" s="432">
        <v>6</v>
      </c>
    </row>
    <row r="85" spans="1:10" s="189" customFormat="1" ht="12.75" customHeight="1">
      <c r="A85" s="188">
        <v>0.59</v>
      </c>
      <c r="B85" s="188">
        <v>1.25</v>
      </c>
      <c r="C85" s="188">
        <f t="shared" ref="C85:C93" si="3">IF(LEN(I85)=0,"",1+ABS((I85*A85)/LEN(I85))+A85)</f>
        <v>2179626.0524999998</v>
      </c>
      <c r="D85" s="188">
        <f t="shared" ref="D85:D93" si="4">IF(LEN(J85)=0,"",1+ABS((J85*B85)/LEN(J85))+B85)</f>
        <v>3947928.65625</v>
      </c>
      <c r="E85" s="440" t="s">
        <v>2194</v>
      </c>
      <c r="F85" s="424" t="s">
        <v>2195</v>
      </c>
      <c r="G85" s="433"/>
      <c r="H85" s="418" t="s">
        <v>585</v>
      </c>
      <c r="I85" s="536">
        <f>IFERROR(IF(AND(I64,I67,I68,I71,I75,I78)="","",(SUM(I64)+SUM(I67)+SUM(I68)+SUM(I71)+SUM(I75)-SUM(I78))),"")</f>
        <v>29554230</v>
      </c>
      <c r="J85" s="536">
        <f>IFERROR(IF(AND(J64,J67,J68,J71,J75,J78)="","",(SUM(J64)+SUM(J67)+SUM(J68)+SUM(J71)+SUM(J75)-SUM(J78))),"")</f>
        <v>25266729</v>
      </c>
    </row>
    <row r="86" spans="1:10" s="189" customFormat="1">
      <c r="A86" s="188">
        <v>0.6</v>
      </c>
      <c r="B86" s="188">
        <v>1.26</v>
      </c>
      <c r="C86" s="188" t="str">
        <f t="shared" si="3"/>
        <v/>
      </c>
      <c r="D86" s="188" t="str">
        <f t="shared" si="4"/>
        <v/>
      </c>
      <c r="E86" s="420"/>
      <c r="F86" s="443"/>
      <c r="G86" s="433"/>
      <c r="H86" s="454"/>
      <c r="I86" s="435"/>
      <c r="J86" s="435"/>
    </row>
    <row r="87" spans="1:10" s="189" customFormat="1">
      <c r="A87" s="188">
        <v>0.61</v>
      </c>
      <c r="B87" s="188">
        <v>1.27</v>
      </c>
      <c r="C87" s="188">
        <f t="shared" si="3"/>
        <v>176201.59142857141</v>
      </c>
      <c r="D87" s="188">
        <f t="shared" si="4"/>
        <v>366844.85428571427</v>
      </c>
      <c r="E87" s="440" t="s">
        <v>2196</v>
      </c>
      <c r="F87" s="424" t="s">
        <v>2197</v>
      </c>
      <c r="G87" s="433"/>
      <c r="H87" s="418" t="s">
        <v>468</v>
      </c>
      <c r="I87" s="892">
        <v>2021967</v>
      </c>
      <c r="J87" s="892">
        <v>2021967</v>
      </c>
    </row>
    <row r="88" spans="1:10" s="189" customFormat="1">
      <c r="A88" s="188">
        <v>0.62</v>
      </c>
      <c r="B88" s="188">
        <v>1.28</v>
      </c>
      <c r="C88" s="188" t="str">
        <f t="shared" si="3"/>
        <v/>
      </c>
      <c r="D88" s="188" t="str">
        <f t="shared" si="4"/>
        <v/>
      </c>
      <c r="E88" s="420"/>
      <c r="F88" s="443"/>
      <c r="G88" s="433"/>
      <c r="H88" s="454"/>
      <c r="I88" s="435"/>
      <c r="J88" s="435"/>
    </row>
    <row r="89" spans="1:10" s="189" customFormat="1">
      <c r="A89" s="188">
        <v>0.63</v>
      </c>
      <c r="B89" s="188">
        <v>1.29</v>
      </c>
      <c r="C89" s="188">
        <f t="shared" si="3"/>
        <v>2.2055275957767857</v>
      </c>
      <c r="D89" s="188">
        <f t="shared" si="4"/>
        <v>3.2974991459430347</v>
      </c>
      <c r="E89" s="440" t="s">
        <v>2198</v>
      </c>
      <c r="F89" s="424" t="s">
        <v>2199</v>
      </c>
      <c r="G89" s="433"/>
      <c r="H89" s="418" t="s">
        <v>210</v>
      </c>
      <c r="I89" s="536">
        <f>IFERROR(IF(AND(I85,I87)="","",I85/I87),"")</f>
        <v>14.616573860997731</v>
      </c>
      <c r="J89" s="536">
        <f>IFERROR(IF(AND(J85,J87)="","",J85/J87),"")</f>
        <v>12.496113438053143</v>
      </c>
    </row>
    <row r="90" spans="1:10" s="189" customFormat="1">
      <c r="A90" s="188">
        <v>0.64</v>
      </c>
      <c r="B90" s="188">
        <v>1.3</v>
      </c>
      <c r="C90" s="188" t="str">
        <f t="shared" si="3"/>
        <v/>
      </c>
      <c r="D90" s="188" t="str">
        <f t="shared" si="4"/>
        <v/>
      </c>
      <c r="E90" s="420"/>
      <c r="F90" s="443"/>
      <c r="G90" s="433"/>
      <c r="H90" s="454"/>
      <c r="I90" s="435"/>
      <c r="J90" s="435"/>
    </row>
    <row r="91" spans="1:10" s="189" customFormat="1">
      <c r="A91" s="188">
        <v>0.65</v>
      </c>
      <c r="B91" s="188">
        <v>1.31</v>
      </c>
      <c r="C91" s="188" t="str">
        <f t="shared" si="3"/>
        <v/>
      </c>
      <c r="D91" s="188" t="str">
        <f t="shared" si="4"/>
        <v/>
      </c>
      <c r="E91" s="440" t="s">
        <v>2200</v>
      </c>
      <c r="F91" s="424" t="s">
        <v>2201</v>
      </c>
      <c r="G91" s="433"/>
      <c r="H91" s="418" t="s">
        <v>472</v>
      </c>
      <c r="I91" s="892"/>
      <c r="J91" s="892"/>
    </row>
    <row r="92" spans="1:10" s="189" customFormat="1">
      <c r="A92" s="188">
        <v>0.66</v>
      </c>
      <c r="B92" s="188">
        <v>1.32</v>
      </c>
      <c r="C92" s="188" t="str">
        <f t="shared" si="3"/>
        <v/>
      </c>
      <c r="D92" s="188">
        <f t="shared" si="4"/>
        <v>141056.86000000002</v>
      </c>
      <c r="E92" s="420" t="s">
        <v>2091</v>
      </c>
      <c r="F92" s="425" t="s">
        <v>2202</v>
      </c>
      <c r="G92" s="433"/>
      <c r="H92" s="454" t="s">
        <v>2203</v>
      </c>
      <c r="I92" s="436"/>
      <c r="J92" s="436">
        <v>641157</v>
      </c>
    </row>
    <row r="93" spans="1:10" s="189" customFormat="1">
      <c r="A93" s="188">
        <v>0.67</v>
      </c>
      <c r="B93" s="188">
        <v>1.33</v>
      </c>
      <c r="C93" s="188" t="str">
        <f t="shared" si="3"/>
        <v/>
      </c>
      <c r="D93" s="188">
        <f t="shared" si="4"/>
        <v>142125.465</v>
      </c>
      <c r="E93" s="420" t="s">
        <v>2093</v>
      </c>
      <c r="F93" s="425" t="s">
        <v>2204</v>
      </c>
      <c r="G93" s="433"/>
      <c r="H93" s="454" t="s">
        <v>477</v>
      </c>
      <c r="I93" s="436"/>
      <c r="J93" s="436">
        <v>641157</v>
      </c>
    </row>
    <row r="94" spans="1:10" s="189" customFormat="1">
      <c r="A94" s="188"/>
      <c r="B94" s="188"/>
      <c r="C94" s="188"/>
      <c r="D94" s="188"/>
      <c r="E94" s="394"/>
      <c r="F94" s="397"/>
      <c r="G94" s="395"/>
      <c r="H94" s="396"/>
      <c r="I94" s="401"/>
      <c r="J94" s="401"/>
    </row>
    <row r="95" spans="1:10" s="189" customFormat="1">
      <c r="A95" s="188"/>
      <c r="B95" s="188"/>
      <c r="C95" s="188"/>
      <c r="D95" s="188"/>
      <c r="E95" s="394"/>
      <c r="F95" s="397"/>
      <c r="G95" s="398"/>
      <c r="H95" s="399"/>
      <c r="I95" s="400"/>
      <c r="J95" s="400"/>
    </row>
    <row r="96" spans="1:10" s="189" customFormat="1">
      <c r="A96" s="188"/>
      <c r="B96" s="188"/>
      <c r="C96" s="188"/>
      <c r="D96" s="188"/>
      <c r="E96" s="492" t="str">
        <f>IF(OR(OsnPodaci!A10="",TEXT(OsnPodaci!D58,"dd.mm.yyyy.")=""),"",OsnPodaci!A10 &amp; ", " &amp;TEXT(OsnPodaci!D58,"dd.mm.yyyy."))</f>
        <v>Sarajevo-Novi Grad, 28.02.2023.</v>
      </c>
      <c r="F96" s="397"/>
      <c r="G96" s="491" t="str">
        <f>IF(OsnPodaci!A67="","",LEFT(OsnPodaci!A67,FIND(";",OsnPodaci!A67,1)-1))</f>
        <v>HADŽIALIĆ (AHMET) AZIRA</v>
      </c>
      <c r="H96" s="396"/>
      <c r="I96" s="401"/>
      <c r="J96" s="369" t="str">
        <f>IF(OR(OsnPodaci!A31="",OsnPodaci!B31=""),"",OsnPodaci!A31&amp;" "&amp;OsnPodaci!B31)</f>
        <v>Dženan Prevljak</v>
      </c>
    </row>
    <row r="97" spans="1:11" s="189" customFormat="1" ht="25.5">
      <c r="A97" s="188"/>
      <c r="B97" s="188"/>
      <c r="C97" s="198">
        <f>IF(ISERROR(ABS(LOG(ABS(SUM(C20:C93)),EXP(3)))),"",ABS(LOG(ABS(SUM(C20:C93)),EXP(3))))</f>
        <v>5.6574529308138439</v>
      </c>
      <c r="D97" s="198">
        <f>IF(ISERROR(ABS(LOG(ABS(SUM(D20:D93)),EXP(3)))),"",ABS(LOG(ABS(SUM(D20:D93)),EXP(3))))</f>
        <v>5.9681449138329503</v>
      </c>
      <c r="E97" s="488" t="s">
        <v>2205</v>
      </c>
      <c r="F97" s="405"/>
      <c r="G97" s="489" t="s">
        <v>2206</v>
      </c>
      <c r="H97" s="405"/>
      <c r="I97" s="407"/>
      <c r="J97" s="490" t="s">
        <v>2207</v>
      </c>
    </row>
    <row r="98" spans="1:11" s="189" customFormat="1">
      <c r="A98" s="188"/>
      <c r="B98" s="188"/>
      <c r="C98" s="188" t="str">
        <f>IF(ISERROR(IF(ISERROR(MID(C97,FIND(".",C97,1)+11,13)),MID(C59,FIND(",",C97,1)+11,13),MID(C97,FIND(".",C97,1)+11,13))),"",IF(ISERROR(MID(C97,FIND(".",C97,1)+11,13)),MID(C97,FIND(",",C97,1)+11,13),MID(C97,FIND(".",C97,1)+11,13)))</f>
        <v>1384</v>
      </c>
      <c r="D98" s="188" t="str">
        <f>IF(ISERROR(IF(ISERROR(MID(D97,FIND(".",D97,1)+11,13)),MID(D59,FIND(",",D97,1)+11,13),MID(D97,FIND(".",D97,1)+11,13))),"",IF(ISERROR(MID(D97,FIND(".",D97,1)+11,13)),MID(D97,FIND(",",D97,1)+11,13),MID(D97,FIND(".",D97,1)+11,13)))</f>
        <v>3295</v>
      </c>
      <c r="E98" s="402"/>
      <c r="F98" s="405"/>
      <c r="G98" s="195"/>
      <c r="H98" s="405"/>
      <c r="I98" s="407"/>
      <c r="J98" s="195"/>
    </row>
    <row r="99" spans="1:11" s="189" customFormat="1">
      <c r="A99" s="188"/>
      <c r="B99" s="188"/>
      <c r="C99" s="188"/>
      <c r="D99" s="188"/>
      <c r="E99" s="402"/>
      <c r="F99" s="405"/>
      <c r="G99" s="493" t="str">
        <f>IF(OsnPodaci!A67="","",MID(OsnPodaci!A67,FIND("licenca br.",OsnPodaci!A67,1)+11,15))</f>
        <v xml:space="preserve"> 4263/5</v>
      </c>
      <c r="H99" s="405"/>
      <c r="J99" s="195"/>
    </row>
    <row r="100" spans="1:11" s="189" customFormat="1">
      <c r="A100" s="188"/>
      <c r="B100" s="188"/>
      <c r="C100" s="188"/>
      <c r="D100" s="188"/>
      <c r="E100" s="195"/>
      <c r="F100" s="405"/>
      <c r="G100" s="489" t="s">
        <v>2208</v>
      </c>
      <c r="H100" s="405"/>
      <c r="I100" s="409" t="s">
        <v>2209</v>
      </c>
      <c r="J100" s="195"/>
    </row>
    <row r="101" spans="1:11" s="189" customFormat="1">
      <c r="A101" s="188"/>
      <c r="B101" s="188"/>
      <c r="C101" s="188"/>
      <c r="D101" s="188"/>
      <c r="E101" s="195"/>
      <c r="F101" s="405"/>
      <c r="G101" s="406"/>
      <c r="H101" s="405"/>
      <c r="I101" s="407"/>
      <c r="J101" s="195"/>
    </row>
    <row r="102" spans="1:11" s="189" customFormat="1">
      <c r="A102" s="188"/>
      <c r="B102" s="188"/>
      <c r="C102" s="188"/>
      <c r="D102" s="188"/>
      <c r="F102" s="199"/>
      <c r="G102" s="200"/>
      <c r="H102" s="199"/>
      <c r="I102" s="193"/>
    </row>
    <row r="103" spans="1:11" s="189" customFormat="1">
      <c r="A103" s="188"/>
      <c r="B103" s="188"/>
      <c r="C103" s="188"/>
      <c r="D103" s="188"/>
      <c r="F103" s="199"/>
      <c r="G103" s="200"/>
      <c r="H103" s="199"/>
      <c r="I103" s="193"/>
    </row>
    <row r="104" spans="1:11" s="189" customFormat="1" ht="72" customHeight="1">
      <c r="A104" s="188"/>
      <c r="B104" s="188"/>
      <c r="C104" s="188"/>
      <c r="D104" s="188"/>
      <c r="F104" s="199"/>
      <c r="G104" s="200"/>
      <c r="H104" s="199"/>
      <c r="I104" s="193"/>
    </row>
    <row r="105" spans="1:11" s="189" customFormat="1">
      <c r="A105" s="188"/>
      <c r="B105" s="188"/>
      <c r="C105" s="188"/>
      <c r="D105" s="188"/>
      <c r="F105" s="199"/>
      <c r="G105" s="200"/>
      <c r="H105" s="199"/>
      <c r="I105" s="193"/>
    </row>
    <row r="106" spans="1:11" s="189" customFormat="1">
      <c r="A106" s="188"/>
      <c r="B106" s="188"/>
      <c r="C106" s="188"/>
      <c r="D106" s="188"/>
      <c r="F106" s="199"/>
      <c r="G106" s="200"/>
      <c r="H106" s="199"/>
      <c r="I106" s="193"/>
    </row>
    <row r="107" spans="1:11" s="189" customFormat="1" ht="126.75" customHeight="1">
      <c r="A107" s="188"/>
      <c r="B107" s="188"/>
      <c r="C107" s="188"/>
      <c r="D107" s="188"/>
      <c r="F107" s="199"/>
      <c r="G107" s="200"/>
      <c r="H107" s="199"/>
      <c r="I107" s="193"/>
    </row>
    <row r="108" spans="1:11" s="189" customFormat="1">
      <c r="A108" s="188"/>
      <c r="B108" s="188"/>
      <c r="C108" s="188"/>
      <c r="D108" s="188"/>
      <c r="F108" s="199"/>
      <c r="G108" s="200"/>
      <c r="H108" s="199"/>
      <c r="I108" s="193"/>
    </row>
    <row r="109" spans="1:11" s="391" customFormat="1" ht="17.25" customHeight="1">
      <c r="E109" s="392" t="str">
        <f>E40</f>
        <v>Kontrolni broj: 1013843295</v>
      </c>
      <c r="J109" s="393" t="s">
        <v>2210</v>
      </c>
    </row>
    <row r="110" spans="1:11" s="189" customFormat="1">
      <c r="A110" s="188"/>
      <c r="B110" s="188"/>
      <c r="C110" s="188"/>
      <c r="D110" s="188"/>
      <c r="E110" s="203"/>
      <c r="F110" s="199"/>
      <c r="G110" s="202"/>
      <c r="H110" s="199"/>
      <c r="I110" s="193"/>
    </row>
    <row r="111" spans="1:11" s="189" customFormat="1">
      <c r="A111" s="188"/>
      <c r="B111" s="188"/>
      <c r="C111" s="188"/>
      <c r="D111" s="188"/>
      <c r="E111" s="190"/>
      <c r="F111" s="199"/>
      <c r="G111" s="204"/>
      <c r="H111" s="199"/>
      <c r="I111" s="193"/>
      <c r="J111" s="205"/>
      <c r="K111" s="201"/>
    </row>
    <row r="112" spans="1:11" s="189" customFormat="1">
      <c r="A112" s="188"/>
      <c r="B112" s="188"/>
      <c r="C112" s="188"/>
      <c r="D112" s="188"/>
      <c r="E112" s="206"/>
      <c r="F112" s="199"/>
      <c r="G112" s="199"/>
      <c r="H112" s="199"/>
      <c r="I112" s="193"/>
      <c r="K112" s="205"/>
    </row>
    <row r="116" spans="5:5">
      <c r="E116" s="190"/>
    </row>
    <row r="117" spans="5:5">
      <c r="E117" s="190"/>
    </row>
    <row r="118" spans="5:5">
      <c r="E118" s="190"/>
    </row>
    <row r="119" spans="5:5">
      <c r="E119" s="190"/>
    </row>
  </sheetData>
  <sheetProtection sheet="1" objects="1" scenarios="1"/>
  <mergeCells count="3">
    <mergeCell ref="E13:J13"/>
    <mergeCell ref="E14:J14"/>
    <mergeCell ref="E15:J15"/>
  </mergeCells>
  <phoneticPr fontId="81" type="noConversion"/>
  <conditionalFormatting sqref="E40 E82 E109">
    <cfRule type="containsText" dxfId="73" priority="2" operator="containsText" text="Obrazac prazan">
      <formula>NOT(ISERROR(SEARCH("Obrazac prazan",E40)))</formula>
    </cfRule>
  </conditionalFormatting>
  <dataValidations count="1">
    <dataValidation type="whole" allowBlank="1" showInputMessage="1" showErrorMessage="1" sqref="I19:J38 I43:J75 I76:J80 I85:J93" xr:uid="{00000000-0002-0000-0400-000000000000}">
      <formula1>-9.99999E+307</formula1>
      <formula2>9.99999E+307</formula2>
    </dataValidation>
  </dataValidations>
  <pageMargins left="0.66929133858267698" right="0.27559055118110198" top="0.19740157480314999" bottom="0.15559055118110199" header="0" footer="0"/>
  <pageSetup paperSize="9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B81EB4-1C63-4132-812E-D71634EAB6CE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E40 E82 E109</xm:sqref>
        </x14:conditionalFormatting>
        <x14:conditionalFormatting xmlns:xm="http://schemas.microsoft.com/office/excel/2006/main">
          <x14:cfRule type="expression" priority="11" id="{A2AF6E78-2122-4309-A911-5EC719DBB4C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J16 E13:J15 I6 P11:P12 E40:F40 H40:J40 F7:I12 E1:J2 E3:F4 J3:J10 E17:J39 E82:F82 H82:J82 E110:J111 E109:F109 H109:J109 E98:F98 H98:I98 E83:J97 E99:H99 J99 E100:J108 E41:J81</xm:sqref>
        </x14:conditionalFormatting>
        <x14:conditionalFormatting xmlns:xm="http://schemas.microsoft.com/office/excel/2006/main">
          <x14:cfRule type="expression" priority="10" id="{09732463-3988-4BC0-90AE-C034F3824C6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</xm:sqref>
        </x14:conditionalFormatting>
        <x14:conditionalFormatting xmlns:xm="http://schemas.microsoft.com/office/excel/2006/main">
          <x14:cfRule type="expression" priority="9" id="{02A28C17-335E-4F38-AE77-716824A7AF96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E8</xm:sqref>
        </x14:conditionalFormatting>
        <x14:conditionalFormatting xmlns:xm="http://schemas.microsoft.com/office/excel/2006/main">
          <x14:cfRule type="expression" priority="8" id="{14D1A947-1037-40A1-A32B-3BBCBE0CB9C1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E10</xm:sqref>
        </x14:conditionalFormatting>
        <x14:conditionalFormatting xmlns:xm="http://schemas.microsoft.com/office/excel/2006/main">
          <x14:cfRule type="expression" priority="7" id="{A75DEA7D-544E-4948-A59E-AA0571CDEEF1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E12</xm:sqref>
        </x14:conditionalFormatting>
        <x14:conditionalFormatting xmlns:xm="http://schemas.microsoft.com/office/excel/2006/main">
          <x14:cfRule type="expression" priority="6" id="{E3098F6E-BE39-411E-8C05-16966DE91E24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E11</xm:sqref>
        </x14:conditionalFormatting>
        <x14:conditionalFormatting xmlns:xm="http://schemas.microsoft.com/office/excel/2006/main">
          <x14:cfRule type="expression" priority="5" id="{4575D4A8-9C39-48D3-8C90-F6CE91B0B02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E9</xm:sqref>
        </x14:conditionalFormatting>
        <x14:conditionalFormatting xmlns:xm="http://schemas.microsoft.com/office/excel/2006/main">
          <x14:cfRule type="expression" priority="4" id="{C84766A7-4E37-487A-9FA3-19E8540C77F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E5</xm:sqref>
        </x14:conditionalFormatting>
        <x14:conditionalFormatting xmlns:xm="http://schemas.microsoft.com/office/excel/2006/main">
          <x14:cfRule type="expression" priority="3" id="{875B1560-BE55-44A8-BFD0-A9F12710552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-0.499984740745262"/>
  </sheetPr>
  <dimension ref="A1:AII116"/>
  <sheetViews>
    <sheetView showGridLines="0" view="pageLayout" topLeftCell="E46" zoomScale="106" zoomScaleNormal="100" zoomScalePageLayoutView="106" workbookViewId="0">
      <selection activeCell="I69" sqref="I69"/>
    </sheetView>
  </sheetViews>
  <sheetFormatPr defaultColWidth="7.5703125" defaultRowHeight="14.25"/>
  <cols>
    <col min="1" max="1" width="4.5703125" style="188" hidden="1" customWidth="1"/>
    <col min="2" max="2" width="9.140625" style="188" hidden="1" customWidth="1"/>
    <col min="3" max="3" width="7.85546875" style="188" hidden="1" customWidth="1"/>
    <col min="4" max="4" width="6.85546875" style="188" hidden="1" customWidth="1"/>
    <col min="5" max="5" width="7.7109375" style="206" customWidth="1"/>
    <col min="6" max="6" width="68.28515625" style="199" customWidth="1"/>
    <col min="7" max="7" width="16.28515625" style="199" customWidth="1"/>
    <col min="8" max="8" width="8" style="199" customWidth="1"/>
    <col min="9" max="9" width="19.7109375" style="193" customWidth="1"/>
    <col min="10" max="10" width="19.7109375" style="189" customWidth="1"/>
    <col min="11" max="919" width="7.5703125" style="189" customWidth="1"/>
    <col min="920" max="920" width="7.5703125" style="190" customWidth="1"/>
    <col min="921" max="16384" width="7.5703125" style="190"/>
  </cols>
  <sheetData>
    <row r="1" spans="1:919" ht="13.5" customHeight="1">
      <c r="E1" s="366" t="str">
        <f>IF(OsnPodaci!B4="","",OsnPodaci!B4)</f>
        <v>ZIF " prevent INVEST " d.d.</v>
      </c>
      <c r="F1" s="528"/>
      <c r="G1" s="528"/>
      <c r="J1" s="373" t="str">
        <f>IF(OsnPodaci!A4="","",OsnPodaci!A4)</f>
        <v>4200191740002</v>
      </c>
    </row>
    <row r="2" spans="1:919" ht="13.5" customHeight="1">
      <c r="E2" s="387" t="s">
        <v>2077</v>
      </c>
      <c r="F2" s="529"/>
      <c r="G2" s="529"/>
      <c r="J2" s="388" t="s">
        <v>2078</v>
      </c>
    </row>
    <row r="3" spans="1:919" ht="13.5" customHeight="1">
      <c r="E3" s="366" t="str">
        <f>IF(OR(OsnPodaci!A10="",OsnPodaci!A13=""),"",OsnPodaci!A10 &amp; ", " &amp; OsnPodaci!A13)</f>
        <v>Sarajevo-Novi Grad, Bulevar Meše Selimovića 16</v>
      </c>
      <c r="F3" s="528"/>
      <c r="G3" s="528"/>
      <c r="J3" s="373" t="str">
        <f>IF(OsnPodaci!A19="","",OsnPodaci!A19)</f>
        <v>64.30</v>
      </c>
    </row>
    <row r="4" spans="1:919" ht="13.5" customHeight="1">
      <c r="E4" s="387" t="s">
        <v>2079</v>
      </c>
      <c r="F4" s="529"/>
      <c r="G4" s="529"/>
      <c r="J4" s="388" t="s">
        <v>1946</v>
      </c>
    </row>
    <row r="5" spans="1:919" ht="13.5" customHeight="1">
      <c r="E5" s="366" t="str">
        <f>IF(OsnPodaci!B27="","",OsnPodaci!B27)</f>
        <v>DUF "Blago" d.o.o.</v>
      </c>
      <c r="F5" s="528"/>
      <c r="G5" s="179"/>
      <c r="J5" s="373" t="str">
        <f>IF('#UNOS'!B12="","",'#UNOS'!B12)</f>
        <v>108</v>
      </c>
    </row>
    <row r="6" spans="1:919" ht="13.5" customHeight="1">
      <c r="E6" s="387" t="s">
        <v>1934</v>
      </c>
      <c r="F6" s="185"/>
      <c r="G6" s="183"/>
      <c r="J6" s="388" t="s">
        <v>12</v>
      </c>
    </row>
    <row r="7" spans="1:919" ht="13.5" customHeight="1">
      <c r="E7" s="366" t="str">
        <f>IF(OR(OsnPodaci!A27="",OsnPodaci!E27=""),"",CONCATENATE(OsnPodaci!E27, "; ", OsnPodaci!A27))</f>
        <v>65-01-0034-11; 4200052540007</v>
      </c>
      <c r="F7" s="185"/>
      <c r="G7" s="183"/>
      <c r="J7" s="373" t="str">
        <f>IF(OsnPodaci!B23="","",OsnPodaci!B23)</f>
        <v>Raiffeisen Bank d.d. BiH</v>
      </c>
    </row>
    <row r="8" spans="1:919" s="179" customFormat="1" ht="13.5" customHeight="1">
      <c r="A8" s="177"/>
      <c r="B8" s="177"/>
      <c r="C8" s="177"/>
      <c r="D8" s="177"/>
      <c r="E8" s="387" t="s">
        <v>2080</v>
      </c>
      <c r="F8" s="187"/>
      <c r="G8" s="187"/>
      <c r="H8" s="528"/>
      <c r="I8" s="530"/>
      <c r="J8" s="388" t="s">
        <v>14</v>
      </c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  <c r="IW8" s="178"/>
      <c r="IX8" s="178"/>
      <c r="IY8" s="178"/>
      <c r="IZ8" s="178"/>
      <c r="JA8" s="178"/>
      <c r="JB8" s="178"/>
      <c r="JC8" s="178"/>
      <c r="JD8" s="178"/>
      <c r="JE8" s="178"/>
      <c r="JF8" s="178"/>
      <c r="JG8" s="178"/>
      <c r="JH8" s="178"/>
      <c r="JI8" s="178"/>
      <c r="JJ8" s="178"/>
      <c r="JK8" s="178"/>
      <c r="JL8" s="178"/>
      <c r="JM8" s="178"/>
      <c r="JN8" s="178"/>
      <c r="JO8" s="178"/>
      <c r="JP8" s="178"/>
      <c r="JQ8" s="178"/>
      <c r="JR8" s="178"/>
      <c r="JS8" s="178"/>
      <c r="JT8" s="178"/>
      <c r="JU8" s="178"/>
      <c r="JV8" s="178"/>
      <c r="JW8" s="178"/>
      <c r="JX8" s="178"/>
      <c r="JY8" s="178"/>
      <c r="JZ8" s="178"/>
      <c r="KA8" s="178"/>
      <c r="KB8" s="178"/>
      <c r="KC8" s="178"/>
      <c r="KD8" s="178"/>
      <c r="KE8" s="178"/>
      <c r="KF8" s="178"/>
      <c r="KG8" s="178"/>
      <c r="KH8" s="178"/>
      <c r="KI8" s="178"/>
      <c r="KJ8" s="178"/>
      <c r="KK8" s="178"/>
      <c r="KL8" s="178"/>
      <c r="KM8" s="178"/>
      <c r="KN8" s="178"/>
      <c r="KO8" s="178"/>
      <c r="KP8" s="178"/>
      <c r="KQ8" s="178"/>
      <c r="KR8" s="178"/>
      <c r="KS8" s="178"/>
      <c r="KT8" s="178"/>
      <c r="KU8" s="178"/>
      <c r="KV8" s="178"/>
      <c r="KW8" s="178"/>
      <c r="KX8" s="178"/>
      <c r="KY8" s="178"/>
      <c r="KZ8" s="178"/>
      <c r="LA8" s="178"/>
      <c r="LB8" s="178"/>
      <c r="LC8" s="178"/>
      <c r="LD8" s="178"/>
      <c r="LE8" s="178"/>
      <c r="LF8" s="178"/>
      <c r="LG8" s="178"/>
      <c r="LH8" s="178"/>
      <c r="LI8" s="178"/>
      <c r="LJ8" s="178"/>
      <c r="LK8" s="178"/>
      <c r="LL8" s="178"/>
      <c r="LM8" s="178"/>
      <c r="LN8" s="178"/>
      <c r="LO8" s="178"/>
      <c r="LP8" s="178"/>
      <c r="LQ8" s="178"/>
      <c r="LR8" s="178"/>
      <c r="LS8" s="178"/>
      <c r="LT8" s="178"/>
      <c r="LU8" s="178"/>
      <c r="LV8" s="178"/>
      <c r="LW8" s="178"/>
      <c r="LX8" s="178"/>
      <c r="LY8" s="178"/>
      <c r="LZ8" s="178"/>
      <c r="MA8" s="178"/>
      <c r="MB8" s="178"/>
      <c r="MC8" s="178"/>
      <c r="MD8" s="178"/>
      <c r="ME8" s="178"/>
      <c r="MF8" s="178"/>
      <c r="MG8" s="178"/>
      <c r="MH8" s="178"/>
      <c r="MI8" s="178"/>
      <c r="MJ8" s="178"/>
      <c r="MK8" s="178"/>
      <c r="ML8" s="178"/>
      <c r="MM8" s="178"/>
      <c r="MN8" s="178"/>
      <c r="MO8" s="178"/>
      <c r="MP8" s="178"/>
      <c r="MQ8" s="178"/>
      <c r="MR8" s="178"/>
      <c r="MS8" s="178"/>
      <c r="MT8" s="178"/>
      <c r="MU8" s="178"/>
      <c r="MV8" s="178"/>
      <c r="MW8" s="178"/>
      <c r="MX8" s="178"/>
      <c r="MY8" s="178"/>
      <c r="MZ8" s="178"/>
      <c r="NA8" s="178"/>
      <c r="NB8" s="178"/>
      <c r="NC8" s="178"/>
      <c r="ND8" s="178"/>
      <c r="NE8" s="178"/>
      <c r="NF8" s="178"/>
      <c r="NG8" s="178"/>
      <c r="NH8" s="178"/>
      <c r="NI8" s="178"/>
      <c r="NJ8" s="178"/>
      <c r="NK8" s="178"/>
      <c r="NL8" s="178"/>
      <c r="NM8" s="178"/>
      <c r="NN8" s="178"/>
      <c r="NO8" s="178"/>
      <c r="NP8" s="178"/>
      <c r="NQ8" s="178"/>
      <c r="NR8" s="178"/>
      <c r="NS8" s="178"/>
      <c r="NT8" s="178"/>
      <c r="NU8" s="178"/>
      <c r="NV8" s="178"/>
      <c r="NW8" s="178"/>
      <c r="NX8" s="178"/>
      <c r="NY8" s="178"/>
      <c r="NZ8" s="178"/>
      <c r="OA8" s="178"/>
      <c r="OB8" s="178"/>
      <c r="OC8" s="178"/>
      <c r="OD8" s="178"/>
      <c r="OE8" s="178"/>
      <c r="OF8" s="178"/>
      <c r="OG8" s="178"/>
      <c r="OH8" s="178"/>
      <c r="OI8" s="178"/>
      <c r="OJ8" s="178"/>
      <c r="OK8" s="178"/>
      <c r="OL8" s="178"/>
      <c r="OM8" s="178"/>
      <c r="ON8" s="178"/>
      <c r="OO8" s="178"/>
      <c r="OP8" s="178"/>
      <c r="OQ8" s="178"/>
      <c r="OR8" s="178"/>
      <c r="OS8" s="178"/>
      <c r="OT8" s="178"/>
      <c r="OU8" s="178"/>
      <c r="OV8" s="178"/>
      <c r="OW8" s="178"/>
      <c r="OX8" s="178"/>
      <c r="OY8" s="178"/>
      <c r="OZ8" s="178"/>
      <c r="PA8" s="178"/>
      <c r="PB8" s="178"/>
      <c r="PC8" s="178"/>
      <c r="PD8" s="178"/>
      <c r="PE8" s="178"/>
      <c r="PF8" s="178"/>
      <c r="PG8" s="178"/>
      <c r="PH8" s="178"/>
      <c r="PI8" s="178"/>
      <c r="PJ8" s="178"/>
      <c r="PK8" s="178"/>
      <c r="PL8" s="178"/>
      <c r="PM8" s="178"/>
      <c r="PN8" s="178"/>
      <c r="PO8" s="178"/>
      <c r="PP8" s="178"/>
      <c r="PQ8" s="178"/>
      <c r="PR8" s="178"/>
      <c r="PS8" s="178"/>
      <c r="PT8" s="178"/>
      <c r="PU8" s="178"/>
      <c r="PV8" s="178"/>
      <c r="PW8" s="178"/>
      <c r="PX8" s="178"/>
      <c r="PY8" s="178"/>
      <c r="PZ8" s="178"/>
      <c r="QA8" s="178"/>
      <c r="QB8" s="178"/>
      <c r="QC8" s="178"/>
      <c r="QD8" s="178"/>
      <c r="QE8" s="178"/>
      <c r="QF8" s="178"/>
      <c r="QG8" s="178"/>
      <c r="QH8" s="178"/>
      <c r="QI8" s="178"/>
      <c r="QJ8" s="178"/>
      <c r="QK8" s="178"/>
      <c r="QL8" s="178"/>
      <c r="QM8" s="178"/>
      <c r="QN8" s="178"/>
      <c r="QO8" s="178"/>
      <c r="QP8" s="178"/>
      <c r="QQ8" s="178"/>
      <c r="QR8" s="178"/>
      <c r="QS8" s="178"/>
      <c r="QT8" s="178"/>
      <c r="QU8" s="178"/>
      <c r="QV8" s="178"/>
      <c r="QW8" s="178"/>
      <c r="QX8" s="178"/>
      <c r="QY8" s="178"/>
      <c r="QZ8" s="178"/>
      <c r="RA8" s="178"/>
      <c r="RB8" s="178"/>
      <c r="RC8" s="178"/>
      <c r="RD8" s="178"/>
      <c r="RE8" s="178"/>
      <c r="RF8" s="178"/>
      <c r="RG8" s="178"/>
      <c r="RH8" s="178"/>
      <c r="RI8" s="178"/>
      <c r="RJ8" s="178"/>
      <c r="RK8" s="178"/>
      <c r="RL8" s="178"/>
      <c r="RM8" s="178"/>
      <c r="RN8" s="178"/>
      <c r="RO8" s="178"/>
      <c r="RP8" s="178"/>
      <c r="RQ8" s="178"/>
      <c r="RR8" s="178"/>
      <c r="RS8" s="178"/>
      <c r="RT8" s="178"/>
      <c r="RU8" s="178"/>
      <c r="RV8" s="178"/>
      <c r="RW8" s="178"/>
      <c r="RX8" s="178"/>
      <c r="RY8" s="178"/>
      <c r="RZ8" s="178"/>
      <c r="SA8" s="178"/>
      <c r="SB8" s="178"/>
      <c r="SC8" s="178"/>
      <c r="SD8" s="178"/>
      <c r="SE8" s="178"/>
      <c r="SF8" s="178"/>
      <c r="SG8" s="178"/>
      <c r="SH8" s="178"/>
      <c r="SI8" s="178"/>
      <c r="SJ8" s="178"/>
      <c r="SK8" s="178"/>
      <c r="SL8" s="178"/>
      <c r="SM8" s="178"/>
      <c r="SN8" s="178"/>
      <c r="SO8" s="178"/>
      <c r="SP8" s="178"/>
      <c r="SQ8" s="178"/>
      <c r="SR8" s="178"/>
      <c r="SS8" s="178"/>
      <c r="ST8" s="178"/>
      <c r="SU8" s="178"/>
      <c r="SV8" s="178"/>
      <c r="SW8" s="178"/>
      <c r="SX8" s="178"/>
      <c r="SY8" s="178"/>
      <c r="SZ8" s="178"/>
      <c r="TA8" s="178"/>
      <c r="TB8" s="178"/>
      <c r="TC8" s="178"/>
      <c r="TD8" s="178"/>
      <c r="TE8" s="178"/>
      <c r="TF8" s="178"/>
      <c r="TG8" s="178"/>
      <c r="TH8" s="178"/>
      <c r="TI8" s="178"/>
      <c r="TJ8" s="178"/>
      <c r="TK8" s="178"/>
      <c r="TL8" s="178"/>
      <c r="TM8" s="178"/>
      <c r="TN8" s="178"/>
      <c r="TO8" s="178"/>
      <c r="TP8" s="178"/>
      <c r="TQ8" s="178"/>
      <c r="TR8" s="178"/>
      <c r="TS8" s="178"/>
      <c r="TT8" s="178"/>
      <c r="TU8" s="178"/>
      <c r="TV8" s="178"/>
      <c r="TW8" s="178"/>
      <c r="TX8" s="178"/>
      <c r="TY8" s="178"/>
      <c r="TZ8" s="178"/>
      <c r="UA8" s="178"/>
      <c r="UB8" s="178"/>
      <c r="UC8" s="178"/>
      <c r="UD8" s="178"/>
      <c r="UE8" s="178"/>
      <c r="UF8" s="178"/>
      <c r="UG8" s="178"/>
      <c r="UH8" s="178"/>
      <c r="UI8" s="178"/>
      <c r="UJ8" s="178"/>
      <c r="UK8" s="178"/>
      <c r="UL8" s="178"/>
      <c r="UM8" s="178"/>
      <c r="UN8" s="178"/>
      <c r="UO8" s="178"/>
      <c r="UP8" s="178"/>
      <c r="UQ8" s="178"/>
      <c r="UR8" s="178"/>
      <c r="US8" s="178"/>
      <c r="UT8" s="178"/>
      <c r="UU8" s="178"/>
      <c r="UV8" s="178"/>
      <c r="UW8" s="178"/>
      <c r="UX8" s="178"/>
      <c r="UY8" s="178"/>
      <c r="UZ8" s="178"/>
      <c r="VA8" s="178"/>
      <c r="VB8" s="178"/>
      <c r="VC8" s="178"/>
      <c r="VD8" s="178"/>
      <c r="VE8" s="178"/>
      <c r="VF8" s="178"/>
      <c r="VG8" s="178"/>
      <c r="VH8" s="178"/>
      <c r="VI8" s="178"/>
      <c r="VJ8" s="178"/>
      <c r="VK8" s="178"/>
      <c r="VL8" s="178"/>
      <c r="VM8" s="178"/>
      <c r="VN8" s="178"/>
      <c r="VO8" s="178"/>
      <c r="VP8" s="178"/>
      <c r="VQ8" s="178"/>
      <c r="VR8" s="178"/>
      <c r="VS8" s="178"/>
      <c r="VT8" s="178"/>
      <c r="VU8" s="178"/>
      <c r="VV8" s="178"/>
      <c r="VW8" s="178"/>
      <c r="VX8" s="178"/>
      <c r="VY8" s="178"/>
      <c r="VZ8" s="178"/>
      <c r="WA8" s="178"/>
      <c r="WB8" s="178"/>
      <c r="WC8" s="178"/>
      <c r="WD8" s="178"/>
      <c r="WE8" s="178"/>
      <c r="WF8" s="178"/>
      <c r="WG8" s="178"/>
      <c r="WH8" s="178"/>
      <c r="WI8" s="178"/>
      <c r="WJ8" s="178"/>
      <c r="WK8" s="178"/>
      <c r="WL8" s="178"/>
      <c r="WM8" s="178"/>
      <c r="WN8" s="178"/>
      <c r="WO8" s="178"/>
      <c r="WP8" s="178"/>
      <c r="WQ8" s="178"/>
      <c r="WR8" s="178"/>
      <c r="WS8" s="178"/>
      <c r="WT8" s="178"/>
      <c r="WU8" s="178"/>
      <c r="WV8" s="178"/>
      <c r="WW8" s="178"/>
      <c r="WX8" s="178"/>
      <c r="WY8" s="178"/>
      <c r="WZ8" s="178"/>
      <c r="XA8" s="178"/>
      <c r="XB8" s="178"/>
      <c r="XC8" s="178"/>
      <c r="XD8" s="178"/>
      <c r="XE8" s="178"/>
      <c r="XF8" s="178"/>
      <c r="XG8" s="178"/>
      <c r="XH8" s="178"/>
      <c r="XI8" s="178"/>
      <c r="XJ8" s="178"/>
      <c r="XK8" s="178"/>
      <c r="XL8" s="178"/>
      <c r="XM8" s="178"/>
      <c r="XN8" s="178"/>
      <c r="XO8" s="178"/>
      <c r="XP8" s="178"/>
      <c r="XQ8" s="178"/>
      <c r="XR8" s="178"/>
      <c r="XS8" s="178"/>
      <c r="XT8" s="178"/>
      <c r="XU8" s="178"/>
      <c r="XV8" s="178"/>
      <c r="XW8" s="178"/>
      <c r="XX8" s="178"/>
      <c r="XY8" s="178"/>
      <c r="XZ8" s="178"/>
      <c r="YA8" s="178"/>
      <c r="YB8" s="178"/>
      <c r="YC8" s="178"/>
      <c r="YD8" s="178"/>
      <c r="YE8" s="178"/>
      <c r="YF8" s="178"/>
      <c r="YG8" s="178"/>
      <c r="YH8" s="178"/>
      <c r="YI8" s="178"/>
      <c r="YJ8" s="178"/>
      <c r="YK8" s="178"/>
      <c r="YL8" s="178"/>
      <c r="YM8" s="178"/>
      <c r="YN8" s="178"/>
      <c r="YO8" s="178"/>
      <c r="YP8" s="178"/>
      <c r="YQ8" s="178"/>
      <c r="YR8" s="178"/>
      <c r="YS8" s="178"/>
      <c r="YT8" s="178"/>
      <c r="YU8" s="178"/>
      <c r="YV8" s="178"/>
      <c r="YW8" s="178"/>
      <c r="YX8" s="178"/>
      <c r="YY8" s="178"/>
      <c r="YZ8" s="178"/>
      <c r="ZA8" s="178"/>
      <c r="ZB8" s="178"/>
      <c r="ZC8" s="178"/>
      <c r="ZD8" s="178"/>
      <c r="ZE8" s="178"/>
      <c r="ZF8" s="178"/>
      <c r="ZG8" s="178"/>
      <c r="ZH8" s="178"/>
      <c r="ZI8" s="178"/>
      <c r="ZJ8" s="178"/>
      <c r="ZK8" s="178"/>
      <c r="ZL8" s="178"/>
      <c r="ZM8" s="178"/>
      <c r="ZN8" s="178"/>
      <c r="ZO8" s="178"/>
      <c r="ZP8" s="178"/>
      <c r="ZQ8" s="178"/>
      <c r="ZR8" s="178"/>
      <c r="ZS8" s="178"/>
      <c r="ZT8" s="178"/>
      <c r="ZU8" s="178"/>
      <c r="ZV8" s="178"/>
      <c r="ZW8" s="178"/>
      <c r="ZX8" s="178"/>
      <c r="ZY8" s="178"/>
      <c r="ZZ8" s="178"/>
      <c r="AAA8" s="178"/>
      <c r="AAB8" s="178"/>
      <c r="AAC8" s="178"/>
      <c r="AAD8" s="178"/>
      <c r="AAE8" s="178"/>
      <c r="AAF8" s="178"/>
      <c r="AAG8" s="178"/>
      <c r="AAH8" s="178"/>
      <c r="AAI8" s="178"/>
      <c r="AAJ8" s="178"/>
      <c r="AAK8" s="178"/>
      <c r="AAL8" s="178"/>
      <c r="AAM8" s="178"/>
      <c r="AAN8" s="178"/>
      <c r="AAO8" s="178"/>
      <c r="AAP8" s="178"/>
      <c r="AAQ8" s="178"/>
      <c r="AAR8" s="178"/>
      <c r="AAS8" s="178"/>
      <c r="AAT8" s="178"/>
      <c r="AAU8" s="178"/>
      <c r="AAV8" s="178"/>
      <c r="AAW8" s="178"/>
      <c r="AAX8" s="178"/>
      <c r="AAY8" s="178"/>
      <c r="AAZ8" s="178"/>
      <c r="ABA8" s="178"/>
      <c r="ABB8" s="178"/>
      <c r="ABC8" s="178"/>
      <c r="ABD8" s="178"/>
      <c r="ABE8" s="178"/>
      <c r="ABF8" s="178"/>
      <c r="ABG8" s="178"/>
      <c r="ABH8" s="178"/>
      <c r="ABI8" s="178"/>
      <c r="ABJ8" s="178"/>
      <c r="ABK8" s="178"/>
      <c r="ABL8" s="178"/>
      <c r="ABM8" s="178"/>
      <c r="ABN8" s="178"/>
      <c r="ABO8" s="178"/>
      <c r="ABP8" s="178"/>
      <c r="ABQ8" s="178"/>
      <c r="ABR8" s="178"/>
      <c r="ABS8" s="178"/>
      <c r="ABT8" s="178"/>
      <c r="ABU8" s="178"/>
      <c r="ABV8" s="178"/>
      <c r="ABW8" s="178"/>
      <c r="ABX8" s="178"/>
      <c r="ABY8" s="178"/>
      <c r="ABZ8" s="178"/>
      <c r="ACA8" s="178"/>
      <c r="ACB8" s="178"/>
      <c r="ACC8" s="178"/>
      <c r="ACD8" s="178"/>
      <c r="ACE8" s="178"/>
      <c r="ACF8" s="178"/>
      <c r="ACG8" s="178"/>
      <c r="ACH8" s="178"/>
      <c r="ACI8" s="178"/>
      <c r="ACJ8" s="178"/>
      <c r="ACK8" s="178"/>
      <c r="ACL8" s="178"/>
      <c r="ACM8" s="178"/>
      <c r="ACN8" s="178"/>
      <c r="ACO8" s="178"/>
      <c r="ACP8" s="178"/>
      <c r="ACQ8" s="178"/>
      <c r="ACR8" s="178"/>
      <c r="ACS8" s="178"/>
      <c r="ACT8" s="178"/>
      <c r="ACU8" s="178"/>
      <c r="ACV8" s="178"/>
      <c r="ACW8" s="178"/>
      <c r="ACX8" s="178"/>
      <c r="ACY8" s="178"/>
      <c r="ACZ8" s="178"/>
      <c r="ADA8" s="178"/>
      <c r="ADB8" s="178"/>
      <c r="ADC8" s="178"/>
      <c r="ADD8" s="178"/>
      <c r="ADE8" s="178"/>
      <c r="ADF8" s="178"/>
      <c r="ADG8" s="178"/>
      <c r="ADH8" s="178"/>
      <c r="ADI8" s="178"/>
      <c r="ADJ8" s="178"/>
      <c r="ADK8" s="178"/>
      <c r="ADL8" s="178"/>
      <c r="ADM8" s="178"/>
      <c r="ADN8" s="178"/>
      <c r="ADO8" s="178"/>
      <c r="ADP8" s="178"/>
      <c r="ADQ8" s="178"/>
      <c r="ADR8" s="178"/>
      <c r="ADS8" s="178"/>
      <c r="ADT8" s="178"/>
      <c r="ADU8" s="178"/>
      <c r="ADV8" s="178"/>
      <c r="ADW8" s="178"/>
      <c r="ADX8" s="178"/>
      <c r="ADY8" s="178"/>
      <c r="ADZ8" s="178"/>
      <c r="AEA8" s="178"/>
      <c r="AEB8" s="178"/>
      <c r="AEC8" s="178"/>
      <c r="AED8" s="178"/>
      <c r="AEE8" s="178"/>
      <c r="AEF8" s="178"/>
      <c r="AEG8" s="178"/>
      <c r="AEH8" s="178"/>
      <c r="AEI8" s="178"/>
      <c r="AEJ8" s="178"/>
      <c r="AEK8" s="178"/>
      <c r="AEL8" s="178"/>
      <c r="AEM8" s="178"/>
      <c r="AEN8" s="178"/>
      <c r="AEO8" s="178"/>
      <c r="AEP8" s="178"/>
      <c r="AEQ8" s="178"/>
      <c r="AER8" s="178"/>
      <c r="AES8" s="178"/>
      <c r="AET8" s="178"/>
      <c r="AEU8" s="178"/>
      <c r="AEV8" s="178"/>
      <c r="AEW8" s="178"/>
      <c r="AEX8" s="178"/>
      <c r="AEY8" s="178"/>
      <c r="AEZ8" s="178"/>
      <c r="AFA8" s="178"/>
      <c r="AFB8" s="178"/>
      <c r="AFC8" s="178"/>
      <c r="AFD8" s="178"/>
      <c r="AFE8" s="178"/>
      <c r="AFF8" s="178"/>
      <c r="AFG8" s="178"/>
      <c r="AFH8" s="178"/>
      <c r="AFI8" s="178"/>
      <c r="AFJ8" s="178"/>
      <c r="AFK8" s="178"/>
      <c r="AFL8" s="178"/>
      <c r="AFM8" s="178"/>
      <c r="AFN8" s="178"/>
      <c r="AFO8" s="178"/>
      <c r="AFP8" s="178"/>
      <c r="AFQ8" s="178"/>
      <c r="AFR8" s="178"/>
      <c r="AFS8" s="178"/>
      <c r="AFT8" s="178"/>
      <c r="AFU8" s="178"/>
      <c r="AFV8" s="178"/>
      <c r="AFW8" s="178"/>
      <c r="AFX8" s="178"/>
      <c r="AFY8" s="178"/>
      <c r="AFZ8" s="178"/>
      <c r="AGA8" s="178"/>
      <c r="AGB8" s="178"/>
      <c r="AGC8" s="178"/>
      <c r="AGD8" s="178"/>
      <c r="AGE8" s="178"/>
      <c r="AGF8" s="178"/>
      <c r="AGG8" s="178"/>
      <c r="AGH8" s="178"/>
      <c r="AGI8" s="178"/>
      <c r="AGJ8" s="178"/>
      <c r="AGK8" s="178"/>
      <c r="AGL8" s="178"/>
      <c r="AGM8" s="178"/>
      <c r="AGN8" s="178"/>
      <c r="AGO8" s="178"/>
      <c r="AGP8" s="178"/>
      <c r="AGQ8" s="178"/>
      <c r="AGR8" s="178"/>
      <c r="AGS8" s="178"/>
      <c r="AGT8" s="178"/>
      <c r="AGU8" s="178"/>
      <c r="AGV8" s="178"/>
      <c r="AGW8" s="178"/>
      <c r="AGX8" s="178"/>
      <c r="AGY8" s="178"/>
      <c r="AGZ8" s="178"/>
      <c r="AHA8" s="178"/>
      <c r="AHB8" s="178"/>
      <c r="AHC8" s="178"/>
      <c r="AHD8" s="178"/>
      <c r="AHE8" s="178"/>
      <c r="AHF8" s="178"/>
      <c r="AHG8" s="178"/>
      <c r="AHH8" s="178"/>
      <c r="AHI8" s="178"/>
      <c r="AHJ8" s="178"/>
      <c r="AHK8" s="178"/>
      <c r="AHL8" s="178"/>
      <c r="AHM8" s="178"/>
      <c r="AHN8" s="178"/>
      <c r="AHO8" s="178"/>
      <c r="AHP8" s="178"/>
      <c r="AHQ8" s="178"/>
      <c r="AHR8" s="178"/>
      <c r="AHS8" s="178"/>
      <c r="AHT8" s="178"/>
      <c r="AHU8" s="178"/>
      <c r="AHV8" s="178"/>
      <c r="AHW8" s="178"/>
      <c r="AHX8" s="178"/>
      <c r="AHY8" s="178"/>
      <c r="AHZ8" s="178"/>
      <c r="AIA8" s="178"/>
      <c r="AIB8" s="178"/>
      <c r="AIC8" s="178"/>
      <c r="AID8" s="178"/>
      <c r="AIE8" s="178"/>
      <c r="AIF8" s="178"/>
      <c r="AIG8" s="178"/>
      <c r="AIH8" s="178"/>
      <c r="AII8" s="178"/>
    </row>
    <row r="9" spans="1:919" s="183" customFormat="1" ht="13.5" customHeight="1">
      <c r="A9" s="180"/>
      <c r="B9" s="180"/>
      <c r="C9" s="180"/>
      <c r="D9" s="180"/>
      <c r="E9" s="366" t="str">
        <f>IF(OsnPodaci!D7="","",OsnPodaci!D7)</f>
        <v>zjp-031-10</v>
      </c>
      <c r="F9" s="187"/>
      <c r="G9" s="187"/>
      <c r="H9" s="529"/>
      <c r="I9" s="531"/>
      <c r="J9" s="373" t="str">
        <f>IF(OsnPodaci!A23="","",OsnPodaci!A23)</f>
        <v>1610000031640053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</row>
    <row r="10" spans="1:919" s="179" customFormat="1" ht="13.5" customHeight="1">
      <c r="A10" s="177"/>
      <c r="B10" s="177"/>
      <c r="C10" s="177"/>
      <c r="D10" s="177"/>
      <c r="E10" s="387" t="s">
        <v>1937</v>
      </c>
      <c r="F10" s="187"/>
      <c r="G10" s="183"/>
      <c r="H10" s="528"/>
      <c r="I10" s="530"/>
      <c r="J10" s="388" t="s">
        <v>1949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  <c r="IW10" s="178"/>
      <c r="IX10" s="178"/>
      <c r="IY10" s="178"/>
      <c r="IZ10" s="178"/>
      <c r="JA10" s="178"/>
      <c r="JB10" s="178"/>
      <c r="JC10" s="178"/>
      <c r="JD10" s="178"/>
      <c r="JE10" s="178"/>
      <c r="JF10" s="178"/>
      <c r="JG10" s="178"/>
      <c r="JH10" s="178"/>
      <c r="JI10" s="178"/>
      <c r="JJ10" s="178"/>
      <c r="JK10" s="178"/>
      <c r="JL10" s="178"/>
      <c r="JM10" s="178"/>
      <c r="JN10" s="178"/>
      <c r="JO10" s="178"/>
      <c r="JP10" s="178"/>
      <c r="JQ10" s="178"/>
      <c r="JR10" s="178"/>
      <c r="JS10" s="178"/>
      <c r="JT10" s="178"/>
      <c r="JU10" s="178"/>
      <c r="JV10" s="178"/>
      <c r="JW10" s="178"/>
      <c r="JX10" s="178"/>
      <c r="JY10" s="178"/>
      <c r="JZ10" s="178"/>
      <c r="KA10" s="178"/>
      <c r="KB10" s="178"/>
      <c r="KC10" s="178"/>
      <c r="KD10" s="178"/>
      <c r="KE10" s="178"/>
      <c r="KF10" s="178"/>
      <c r="KG10" s="178"/>
      <c r="KH10" s="178"/>
      <c r="KI10" s="178"/>
      <c r="KJ10" s="178"/>
      <c r="KK10" s="178"/>
      <c r="KL10" s="178"/>
      <c r="KM10" s="178"/>
      <c r="KN10" s="178"/>
      <c r="KO10" s="178"/>
      <c r="KP10" s="178"/>
      <c r="KQ10" s="178"/>
      <c r="KR10" s="178"/>
      <c r="KS10" s="178"/>
      <c r="KT10" s="178"/>
      <c r="KU10" s="178"/>
      <c r="KV10" s="178"/>
      <c r="KW10" s="178"/>
      <c r="KX10" s="178"/>
      <c r="KY10" s="178"/>
      <c r="KZ10" s="178"/>
      <c r="LA10" s="178"/>
      <c r="LB10" s="178"/>
      <c r="LC10" s="178"/>
      <c r="LD10" s="178"/>
      <c r="LE10" s="178"/>
      <c r="LF10" s="178"/>
      <c r="LG10" s="178"/>
      <c r="LH10" s="178"/>
      <c r="LI10" s="178"/>
      <c r="LJ10" s="178"/>
      <c r="LK10" s="178"/>
      <c r="LL10" s="178"/>
      <c r="LM10" s="178"/>
      <c r="LN10" s="178"/>
      <c r="LO10" s="178"/>
      <c r="LP10" s="178"/>
      <c r="LQ10" s="178"/>
      <c r="LR10" s="178"/>
      <c r="LS10" s="178"/>
      <c r="LT10" s="178"/>
      <c r="LU10" s="178"/>
      <c r="LV10" s="178"/>
      <c r="LW10" s="178"/>
      <c r="LX10" s="178"/>
      <c r="LY10" s="178"/>
      <c r="LZ10" s="178"/>
      <c r="MA10" s="178"/>
      <c r="MB10" s="178"/>
      <c r="MC10" s="178"/>
      <c r="MD10" s="178"/>
      <c r="ME10" s="178"/>
      <c r="MF10" s="178"/>
      <c r="MG10" s="178"/>
      <c r="MH10" s="178"/>
      <c r="MI10" s="178"/>
      <c r="MJ10" s="178"/>
      <c r="MK10" s="178"/>
      <c r="ML10" s="178"/>
      <c r="MM10" s="178"/>
      <c r="MN10" s="178"/>
      <c r="MO10" s="178"/>
      <c r="MP10" s="178"/>
      <c r="MQ10" s="178"/>
      <c r="MR10" s="178"/>
      <c r="MS10" s="178"/>
      <c r="MT10" s="178"/>
      <c r="MU10" s="178"/>
      <c r="MV10" s="178"/>
      <c r="MW10" s="178"/>
      <c r="MX10" s="178"/>
      <c r="MY10" s="178"/>
      <c r="MZ10" s="178"/>
      <c r="NA10" s="178"/>
      <c r="NB10" s="178"/>
      <c r="NC10" s="178"/>
      <c r="ND10" s="178"/>
      <c r="NE10" s="178"/>
      <c r="NF10" s="178"/>
      <c r="NG10" s="178"/>
      <c r="NH10" s="178"/>
      <c r="NI10" s="178"/>
      <c r="NJ10" s="178"/>
      <c r="NK10" s="178"/>
      <c r="NL10" s="178"/>
      <c r="NM10" s="178"/>
      <c r="NN10" s="178"/>
      <c r="NO10" s="178"/>
      <c r="NP10" s="178"/>
      <c r="NQ10" s="178"/>
      <c r="NR10" s="178"/>
      <c r="NS10" s="178"/>
      <c r="NT10" s="178"/>
      <c r="NU10" s="178"/>
      <c r="NV10" s="178"/>
      <c r="NW10" s="178"/>
      <c r="NX10" s="178"/>
      <c r="NY10" s="178"/>
      <c r="NZ10" s="178"/>
      <c r="OA10" s="178"/>
      <c r="OB10" s="178"/>
      <c r="OC10" s="178"/>
      <c r="OD10" s="178"/>
      <c r="OE10" s="178"/>
      <c r="OF10" s="178"/>
      <c r="OG10" s="178"/>
      <c r="OH10" s="178"/>
      <c r="OI10" s="178"/>
      <c r="OJ10" s="178"/>
      <c r="OK10" s="178"/>
      <c r="OL10" s="178"/>
      <c r="OM10" s="178"/>
      <c r="ON10" s="178"/>
      <c r="OO10" s="178"/>
      <c r="OP10" s="178"/>
      <c r="OQ10" s="178"/>
      <c r="OR10" s="178"/>
      <c r="OS10" s="178"/>
      <c r="OT10" s="178"/>
      <c r="OU10" s="178"/>
      <c r="OV10" s="178"/>
      <c r="OW10" s="178"/>
      <c r="OX10" s="178"/>
      <c r="OY10" s="178"/>
      <c r="OZ10" s="178"/>
      <c r="PA10" s="178"/>
      <c r="PB10" s="178"/>
      <c r="PC10" s="178"/>
      <c r="PD10" s="178"/>
      <c r="PE10" s="178"/>
      <c r="PF10" s="178"/>
      <c r="PG10" s="178"/>
      <c r="PH10" s="178"/>
      <c r="PI10" s="178"/>
      <c r="PJ10" s="178"/>
      <c r="PK10" s="178"/>
      <c r="PL10" s="178"/>
      <c r="PM10" s="178"/>
      <c r="PN10" s="178"/>
      <c r="PO10" s="178"/>
      <c r="PP10" s="178"/>
      <c r="PQ10" s="178"/>
      <c r="PR10" s="178"/>
      <c r="PS10" s="178"/>
      <c r="PT10" s="178"/>
      <c r="PU10" s="178"/>
      <c r="PV10" s="178"/>
      <c r="PW10" s="178"/>
      <c r="PX10" s="178"/>
      <c r="PY10" s="178"/>
      <c r="PZ10" s="178"/>
      <c r="QA10" s="178"/>
      <c r="QB10" s="178"/>
      <c r="QC10" s="178"/>
      <c r="QD10" s="178"/>
      <c r="QE10" s="178"/>
      <c r="QF10" s="178"/>
      <c r="QG10" s="178"/>
      <c r="QH10" s="178"/>
      <c r="QI10" s="178"/>
      <c r="QJ10" s="178"/>
      <c r="QK10" s="178"/>
      <c r="QL10" s="178"/>
      <c r="QM10" s="178"/>
      <c r="QN10" s="178"/>
      <c r="QO10" s="178"/>
      <c r="QP10" s="178"/>
      <c r="QQ10" s="178"/>
      <c r="QR10" s="178"/>
      <c r="QS10" s="178"/>
      <c r="QT10" s="178"/>
      <c r="QU10" s="178"/>
      <c r="QV10" s="178"/>
      <c r="QW10" s="178"/>
      <c r="QX10" s="178"/>
      <c r="QY10" s="178"/>
      <c r="QZ10" s="178"/>
      <c r="RA10" s="178"/>
      <c r="RB10" s="178"/>
      <c r="RC10" s="178"/>
      <c r="RD10" s="178"/>
      <c r="RE10" s="178"/>
      <c r="RF10" s="178"/>
      <c r="RG10" s="178"/>
      <c r="RH10" s="178"/>
      <c r="RI10" s="178"/>
      <c r="RJ10" s="178"/>
      <c r="RK10" s="178"/>
      <c r="RL10" s="178"/>
      <c r="RM10" s="178"/>
      <c r="RN10" s="178"/>
      <c r="RO10" s="178"/>
      <c r="RP10" s="178"/>
      <c r="RQ10" s="178"/>
      <c r="RR10" s="178"/>
      <c r="RS10" s="178"/>
      <c r="RT10" s="178"/>
      <c r="RU10" s="178"/>
      <c r="RV10" s="178"/>
      <c r="RW10" s="178"/>
      <c r="RX10" s="178"/>
      <c r="RY10" s="178"/>
      <c r="RZ10" s="178"/>
      <c r="SA10" s="178"/>
      <c r="SB10" s="178"/>
      <c r="SC10" s="178"/>
      <c r="SD10" s="178"/>
      <c r="SE10" s="178"/>
      <c r="SF10" s="178"/>
      <c r="SG10" s="178"/>
      <c r="SH10" s="178"/>
      <c r="SI10" s="178"/>
      <c r="SJ10" s="178"/>
      <c r="SK10" s="178"/>
      <c r="SL10" s="178"/>
      <c r="SM10" s="178"/>
      <c r="SN10" s="178"/>
      <c r="SO10" s="178"/>
      <c r="SP10" s="178"/>
      <c r="SQ10" s="178"/>
      <c r="SR10" s="178"/>
      <c r="SS10" s="178"/>
      <c r="ST10" s="178"/>
      <c r="SU10" s="178"/>
      <c r="SV10" s="178"/>
      <c r="SW10" s="178"/>
      <c r="SX10" s="178"/>
      <c r="SY10" s="178"/>
      <c r="SZ10" s="178"/>
      <c r="TA10" s="178"/>
      <c r="TB10" s="178"/>
      <c r="TC10" s="178"/>
      <c r="TD10" s="178"/>
      <c r="TE10" s="178"/>
      <c r="TF10" s="178"/>
      <c r="TG10" s="178"/>
      <c r="TH10" s="178"/>
      <c r="TI10" s="178"/>
      <c r="TJ10" s="178"/>
      <c r="TK10" s="178"/>
      <c r="TL10" s="178"/>
      <c r="TM10" s="178"/>
      <c r="TN10" s="178"/>
      <c r="TO10" s="178"/>
      <c r="TP10" s="178"/>
      <c r="TQ10" s="178"/>
      <c r="TR10" s="178"/>
      <c r="TS10" s="178"/>
      <c r="TT10" s="178"/>
      <c r="TU10" s="178"/>
      <c r="TV10" s="178"/>
      <c r="TW10" s="178"/>
      <c r="TX10" s="178"/>
      <c r="TY10" s="178"/>
      <c r="TZ10" s="178"/>
      <c r="UA10" s="178"/>
      <c r="UB10" s="178"/>
      <c r="UC10" s="178"/>
      <c r="UD10" s="178"/>
      <c r="UE10" s="178"/>
      <c r="UF10" s="178"/>
      <c r="UG10" s="178"/>
      <c r="UH10" s="178"/>
      <c r="UI10" s="178"/>
      <c r="UJ10" s="178"/>
      <c r="UK10" s="178"/>
      <c r="UL10" s="178"/>
      <c r="UM10" s="178"/>
      <c r="UN10" s="178"/>
      <c r="UO10" s="178"/>
      <c r="UP10" s="178"/>
      <c r="UQ10" s="178"/>
      <c r="UR10" s="178"/>
      <c r="US10" s="178"/>
      <c r="UT10" s="178"/>
      <c r="UU10" s="178"/>
      <c r="UV10" s="178"/>
      <c r="UW10" s="178"/>
      <c r="UX10" s="178"/>
      <c r="UY10" s="178"/>
      <c r="UZ10" s="178"/>
      <c r="VA10" s="178"/>
      <c r="VB10" s="178"/>
      <c r="VC10" s="178"/>
      <c r="VD10" s="178"/>
      <c r="VE10" s="178"/>
      <c r="VF10" s="178"/>
      <c r="VG10" s="178"/>
      <c r="VH10" s="178"/>
      <c r="VI10" s="178"/>
      <c r="VJ10" s="178"/>
      <c r="VK10" s="178"/>
      <c r="VL10" s="178"/>
      <c r="VM10" s="178"/>
      <c r="VN10" s="178"/>
      <c r="VO10" s="178"/>
      <c r="VP10" s="178"/>
      <c r="VQ10" s="178"/>
      <c r="VR10" s="178"/>
      <c r="VS10" s="178"/>
      <c r="VT10" s="178"/>
      <c r="VU10" s="178"/>
      <c r="VV10" s="178"/>
      <c r="VW10" s="178"/>
      <c r="VX10" s="178"/>
      <c r="VY10" s="178"/>
      <c r="VZ10" s="178"/>
      <c r="WA10" s="178"/>
      <c r="WB10" s="178"/>
      <c r="WC10" s="178"/>
      <c r="WD10" s="178"/>
      <c r="WE10" s="178"/>
      <c r="WF10" s="178"/>
      <c r="WG10" s="178"/>
      <c r="WH10" s="178"/>
      <c r="WI10" s="178"/>
      <c r="WJ10" s="178"/>
      <c r="WK10" s="178"/>
      <c r="WL10" s="178"/>
      <c r="WM10" s="178"/>
      <c r="WN10" s="178"/>
      <c r="WO10" s="178"/>
      <c r="WP10" s="178"/>
      <c r="WQ10" s="178"/>
      <c r="WR10" s="178"/>
      <c r="WS10" s="178"/>
      <c r="WT10" s="178"/>
      <c r="WU10" s="178"/>
      <c r="WV10" s="178"/>
      <c r="WW10" s="178"/>
      <c r="WX10" s="178"/>
      <c r="WY10" s="178"/>
      <c r="WZ10" s="178"/>
      <c r="XA10" s="178"/>
      <c r="XB10" s="178"/>
      <c r="XC10" s="178"/>
      <c r="XD10" s="178"/>
      <c r="XE10" s="178"/>
      <c r="XF10" s="178"/>
      <c r="XG10" s="178"/>
      <c r="XH10" s="178"/>
      <c r="XI10" s="178"/>
      <c r="XJ10" s="178"/>
      <c r="XK10" s="178"/>
      <c r="XL10" s="178"/>
      <c r="XM10" s="178"/>
      <c r="XN10" s="178"/>
      <c r="XO10" s="178"/>
      <c r="XP10" s="178"/>
      <c r="XQ10" s="178"/>
      <c r="XR10" s="178"/>
      <c r="XS10" s="178"/>
      <c r="XT10" s="178"/>
      <c r="XU10" s="178"/>
      <c r="XV10" s="178"/>
      <c r="XW10" s="178"/>
      <c r="XX10" s="178"/>
      <c r="XY10" s="178"/>
      <c r="XZ10" s="178"/>
      <c r="YA10" s="178"/>
      <c r="YB10" s="178"/>
      <c r="YC10" s="178"/>
      <c r="YD10" s="178"/>
      <c r="YE10" s="178"/>
      <c r="YF10" s="178"/>
      <c r="YG10" s="178"/>
      <c r="YH10" s="178"/>
      <c r="YI10" s="178"/>
      <c r="YJ10" s="178"/>
      <c r="YK10" s="178"/>
      <c r="YL10" s="178"/>
      <c r="YM10" s="178"/>
      <c r="YN10" s="178"/>
      <c r="YO10" s="178"/>
      <c r="YP10" s="178"/>
      <c r="YQ10" s="178"/>
      <c r="YR10" s="178"/>
      <c r="YS10" s="178"/>
      <c r="YT10" s="178"/>
      <c r="YU10" s="178"/>
      <c r="YV10" s="178"/>
      <c r="YW10" s="178"/>
      <c r="YX10" s="178"/>
      <c r="YY10" s="178"/>
      <c r="YZ10" s="178"/>
      <c r="ZA10" s="178"/>
      <c r="ZB10" s="178"/>
      <c r="ZC10" s="178"/>
      <c r="ZD10" s="178"/>
      <c r="ZE10" s="178"/>
      <c r="ZF10" s="178"/>
      <c r="ZG10" s="178"/>
      <c r="ZH10" s="178"/>
      <c r="ZI10" s="178"/>
      <c r="ZJ10" s="178"/>
      <c r="ZK10" s="178"/>
      <c r="ZL10" s="178"/>
      <c r="ZM10" s="178"/>
      <c r="ZN10" s="178"/>
      <c r="ZO10" s="178"/>
      <c r="ZP10" s="178"/>
      <c r="ZQ10" s="178"/>
      <c r="ZR10" s="178"/>
      <c r="ZS10" s="178"/>
      <c r="ZT10" s="178"/>
      <c r="ZU10" s="178"/>
      <c r="ZV10" s="178"/>
      <c r="ZW10" s="178"/>
      <c r="ZX10" s="178"/>
      <c r="ZY10" s="178"/>
      <c r="ZZ10" s="178"/>
      <c r="AAA10" s="178"/>
      <c r="AAB10" s="178"/>
      <c r="AAC10" s="178"/>
      <c r="AAD10" s="178"/>
      <c r="AAE10" s="178"/>
      <c r="AAF10" s="178"/>
      <c r="AAG10" s="178"/>
      <c r="AAH10" s="178"/>
      <c r="AAI10" s="178"/>
      <c r="AAJ10" s="178"/>
      <c r="AAK10" s="178"/>
      <c r="AAL10" s="178"/>
      <c r="AAM10" s="178"/>
      <c r="AAN10" s="178"/>
      <c r="AAO10" s="178"/>
      <c r="AAP10" s="178"/>
      <c r="AAQ10" s="178"/>
      <c r="AAR10" s="178"/>
      <c r="AAS10" s="178"/>
      <c r="AAT10" s="178"/>
      <c r="AAU10" s="178"/>
      <c r="AAV10" s="178"/>
      <c r="AAW10" s="178"/>
      <c r="AAX10" s="178"/>
      <c r="AAY10" s="178"/>
      <c r="AAZ10" s="178"/>
      <c r="ABA10" s="178"/>
      <c r="ABB10" s="178"/>
      <c r="ABC10" s="178"/>
      <c r="ABD10" s="178"/>
      <c r="ABE10" s="178"/>
      <c r="ABF10" s="178"/>
      <c r="ABG10" s="178"/>
      <c r="ABH10" s="178"/>
      <c r="ABI10" s="178"/>
      <c r="ABJ10" s="178"/>
      <c r="ABK10" s="178"/>
      <c r="ABL10" s="178"/>
      <c r="ABM10" s="178"/>
      <c r="ABN10" s="178"/>
      <c r="ABO10" s="178"/>
      <c r="ABP10" s="178"/>
      <c r="ABQ10" s="178"/>
      <c r="ABR10" s="178"/>
      <c r="ABS10" s="178"/>
      <c r="ABT10" s="178"/>
      <c r="ABU10" s="178"/>
      <c r="ABV10" s="178"/>
      <c r="ABW10" s="178"/>
      <c r="ABX10" s="178"/>
      <c r="ABY10" s="178"/>
      <c r="ABZ10" s="178"/>
      <c r="ACA10" s="178"/>
      <c r="ACB10" s="178"/>
      <c r="ACC10" s="178"/>
      <c r="ACD10" s="178"/>
      <c r="ACE10" s="178"/>
      <c r="ACF10" s="178"/>
      <c r="ACG10" s="178"/>
      <c r="ACH10" s="178"/>
      <c r="ACI10" s="178"/>
      <c r="ACJ10" s="178"/>
      <c r="ACK10" s="178"/>
      <c r="ACL10" s="178"/>
      <c r="ACM10" s="178"/>
      <c r="ACN10" s="178"/>
      <c r="ACO10" s="178"/>
      <c r="ACP10" s="178"/>
      <c r="ACQ10" s="178"/>
      <c r="ACR10" s="178"/>
      <c r="ACS10" s="178"/>
      <c r="ACT10" s="178"/>
      <c r="ACU10" s="178"/>
      <c r="ACV10" s="178"/>
      <c r="ACW10" s="178"/>
      <c r="ACX10" s="178"/>
      <c r="ACY10" s="178"/>
      <c r="ACZ10" s="178"/>
      <c r="ADA10" s="178"/>
      <c r="ADB10" s="178"/>
      <c r="ADC10" s="178"/>
      <c r="ADD10" s="178"/>
      <c r="ADE10" s="178"/>
      <c r="ADF10" s="178"/>
      <c r="ADG10" s="178"/>
      <c r="ADH10" s="178"/>
      <c r="ADI10" s="178"/>
      <c r="ADJ10" s="178"/>
      <c r="ADK10" s="178"/>
      <c r="ADL10" s="178"/>
      <c r="ADM10" s="178"/>
      <c r="ADN10" s="178"/>
      <c r="ADO10" s="178"/>
      <c r="ADP10" s="178"/>
      <c r="ADQ10" s="178"/>
      <c r="ADR10" s="178"/>
      <c r="ADS10" s="178"/>
      <c r="ADT10" s="178"/>
      <c r="ADU10" s="178"/>
      <c r="ADV10" s="178"/>
      <c r="ADW10" s="178"/>
      <c r="ADX10" s="178"/>
      <c r="ADY10" s="178"/>
      <c r="ADZ10" s="178"/>
      <c r="AEA10" s="178"/>
      <c r="AEB10" s="178"/>
      <c r="AEC10" s="178"/>
      <c r="AED10" s="178"/>
      <c r="AEE10" s="178"/>
      <c r="AEF10" s="178"/>
      <c r="AEG10" s="178"/>
      <c r="AEH10" s="178"/>
      <c r="AEI10" s="178"/>
      <c r="AEJ10" s="178"/>
      <c r="AEK10" s="178"/>
      <c r="AEL10" s="178"/>
      <c r="AEM10" s="178"/>
      <c r="AEN10" s="178"/>
      <c r="AEO10" s="178"/>
      <c r="AEP10" s="178"/>
      <c r="AEQ10" s="178"/>
      <c r="AER10" s="178"/>
      <c r="AES10" s="178"/>
      <c r="AET10" s="178"/>
      <c r="AEU10" s="178"/>
      <c r="AEV10" s="178"/>
      <c r="AEW10" s="178"/>
      <c r="AEX10" s="178"/>
      <c r="AEY10" s="178"/>
      <c r="AEZ10" s="178"/>
      <c r="AFA10" s="178"/>
      <c r="AFB10" s="178"/>
      <c r="AFC10" s="178"/>
      <c r="AFD10" s="178"/>
      <c r="AFE10" s="178"/>
      <c r="AFF10" s="178"/>
      <c r="AFG10" s="178"/>
      <c r="AFH10" s="178"/>
      <c r="AFI10" s="178"/>
      <c r="AFJ10" s="178"/>
      <c r="AFK10" s="178"/>
      <c r="AFL10" s="178"/>
      <c r="AFM10" s="178"/>
      <c r="AFN10" s="178"/>
      <c r="AFO10" s="178"/>
      <c r="AFP10" s="178"/>
      <c r="AFQ10" s="178"/>
      <c r="AFR10" s="178"/>
      <c r="AFS10" s="178"/>
      <c r="AFT10" s="178"/>
      <c r="AFU10" s="178"/>
      <c r="AFV10" s="178"/>
      <c r="AFW10" s="178"/>
      <c r="AFX10" s="178"/>
      <c r="AFY10" s="178"/>
      <c r="AFZ10" s="178"/>
      <c r="AGA10" s="178"/>
      <c r="AGB10" s="178"/>
      <c r="AGC10" s="178"/>
      <c r="AGD10" s="178"/>
      <c r="AGE10" s="178"/>
      <c r="AGF10" s="178"/>
      <c r="AGG10" s="178"/>
      <c r="AGH10" s="178"/>
      <c r="AGI10" s="178"/>
      <c r="AGJ10" s="178"/>
      <c r="AGK10" s="178"/>
      <c r="AGL10" s="178"/>
      <c r="AGM10" s="178"/>
      <c r="AGN10" s="178"/>
      <c r="AGO10" s="178"/>
      <c r="AGP10" s="178"/>
      <c r="AGQ10" s="178"/>
      <c r="AGR10" s="178"/>
      <c r="AGS10" s="178"/>
      <c r="AGT10" s="178"/>
      <c r="AGU10" s="178"/>
      <c r="AGV10" s="178"/>
      <c r="AGW10" s="178"/>
      <c r="AGX10" s="178"/>
      <c r="AGY10" s="178"/>
      <c r="AGZ10" s="178"/>
      <c r="AHA10" s="178"/>
      <c r="AHB10" s="178"/>
      <c r="AHC10" s="178"/>
      <c r="AHD10" s="178"/>
      <c r="AHE10" s="178"/>
      <c r="AHF10" s="178"/>
      <c r="AHG10" s="178"/>
      <c r="AHH10" s="178"/>
      <c r="AHI10" s="178"/>
      <c r="AHJ10" s="178"/>
      <c r="AHK10" s="178"/>
      <c r="AHL10" s="178"/>
      <c r="AHM10" s="178"/>
      <c r="AHN10" s="178"/>
      <c r="AHO10" s="178"/>
      <c r="AHP10" s="178"/>
      <c r="AHQ10" s="178"/>
      <c r="AHR10" s="178"/>
      <c r="AHS10" s="178"/>
      <c r="AHT10" s="178"/>
      <c r="AHU10" s="178"/>
      <c r="AHV10" s="178"/>
      <c r="AHW10" s="178"/>
      <c r="AHX10" s="178"/>
      <c r="AHY10" s="178"/>
      <c r="AHZ10" s="178"/>
      <c r="AIA10" s="178"/>
      <c r="AIB10" s="178"/>
      <c r="AIC10" s="178"/>
      <c r="AID10" s="178"/>
      <c r="AIE10" s="178"/>
      <c r="AIF10" s="178"/>
      <c r="AIG10" s="178"/>
      <c r="AIH10" s="178"/>
      <c r="AII10" s="178"/>
    </row>
    <row r="11" spans="1:919" s="179" customFormat="1" ht="13.5" customHeight="1">
      <c r="A11" s="177"/>
      <c r="B11" s="177"/>
      <c r="C11" s="177"/>
      <c r="D11" s="177"/>
      <c r="E11" s="366" t="str">
        <f>IF(AND(OsnPodaci!A16="DA",LEN(OsnPodaci!B16)=12),OsnPodaci!B16,"-")</f>
        <v>-</v>
      </c>
      <c r="F11" s="187"/>
      <c r="G11" s="183"/>
      <c r="H11" s="528"/>
      <c r="I11" s="530"/>
      <c r="J11" s="184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  <c r="IW11" s="178"/>
      <c r="IX11" s="178"/>
      <c r="IY11" s="178"/>
      <c r="IZ11" s="178"/>
      <c r="JA11" s="178"/>
      <c r="JB11" s="178"/>
      <c r="JC11" s="178"/>
      <c r="JD11" s="178"/>
      <c r="JE11" s="178"/>
      <c r="JF11" s="178"/>
      <c r="JG11" s="178"/>
      <c r="JH11" s="178"/>
      <c r="JI11" s="178"/>
      <c r="JJ11" s="178"/>
      <c r="JK11" s="178"/>
      <c r="JL11" s="178"/>
      <c r="JM11" s="178"/>
      <c r="JN11" s="178"/>
      <c r="JO11" s="178"/>
      <c r="JP11" s="178"/>
      <c r="JQ11" s="178"/>
      <c r="JR11" s="178"/>
      <c r="JS11" s="178"/>
      <c r="JT11" s="178"/>
      <c r="JU11" s="178"/>
      <c r="JV11" s="178"/>
      <c r="JW11" s="178"/>
      <c r="JX11" s="178"/>
      <c r="JY11" s="178"/>
      <c r="JZ11" s="178"/>
      <c r="KA11" s="178"/>
      <c r="KB11" s="178"/>
      <c r="KC11" s="178"/>
      <c r="KD11" s="178"/>
      <c r="KE11" s="178"/>
      <c r="KF11" s="178"/>
      <c r="KG11" s="178"/>
      <c r="KH11" s="178"/>
      <c r="KI11" s="178"/>
      <c r="KJ11" s="178"/>
      <c r="KK11" s="178"/>
      <c r="KL11" s="178"/>
      <c r="KM11" s="178"/>
      <c r="KN11" s="178"/>
      <c r="KO11" s="178"/>
      <c r="KP11" s="178"/>
      <c r="KQ11" s="178"/>
      <c r="KR11" s="178"/>
      <c r="KS11" s="178"/>
      <c r="KT11" s="178"/>
      <c r="KU11" s="178"/>
      <c r="KV11" s="178"/>
      <c r="KW11" s="178"/>
      <c r="KX11" s="178"/>
      <c r="KY11" s="178"/>
      <c r="KZ11" s="178"/>
      <c r="LA11" s="178"/>
      <c r="LB11" s="178"/>
      <c r="LC11" s="178"/>
      <c r="LD11" s="178"/>
      <c r="LE11" s="178"/>
      <c r="LF11" s="178"/>
      <c r="LG11" s="178"/>
      <c r="LH11" s="178"/>
      <c r="LI11" s="178"/>
      <c r="LJ11" s="178"/>
      <c r="LK11" s="178"/>
      <c r="LL11" s="178"/>
      <c r="LM11" s="178"/>
      <c r="LN11" s="178"/>
      <c r="LO11" s="178"/>
      <c r="LP11" s="178"/>
      <c r="LQ11" s="178"/>
      <c r="LR11" s="178"/>
      <c r="LS11" s="178"/>
      <c r="LT11" s="178"/>
      <c r="LU11" s="178"/>
      <c r="LV11" s="178"/>
      <c r="LW11" s="178"/>
      <c r="LX11" s="178"/>
      <c r="LY11" s="178"/>
      <c r="LZ11" s="178"/>
      <c r="MA11" s="178"/>
      <c r="MB11" s="178"/>
      <c r="MC11" s="178"/>
      <c r="MD11" s="178"/>
      <c r="ME11" s="178"/>
      <c r="MF11" s="178"/>
      <c r="MG11" s="178"/>
      <c r="MH11" s="178"/>
      <c r="MI11" s="178"/>
      <c r="MJ11" s="178"/>
      <c r="MK11" s="178"/>
      <c r="ML11" s="178"/>
      <c r="MM11" s="178"/>
      <c r="MN11" s="178"/>
      <c r="MO11" s="178"/>
      <c r="MP11" s="178"/>
      <c r="MQ11" s="178"/>
      <c r="MR11" s="178"/>
      <c r="MS11" s="178"/>
      <c r="MT11" s="178"/>
      <c r="MU11" s="178"/>
      <c r="MV11" s="178"/>
      <c r="MW11" s="178"/>
      <c r="MX11" s="178"/>
      <c r="MY11" s="178"/>
      <c r="MZ11" s="178"/>
      <c r="NA11" s="178"/>
      <c r="NB11" s="178"/>
      <c r="NC11" s="178"/>
      <c r="ND11" s="178"/>
      <c r="NE11" s="178"/>
      <c r="NF11" s="178"/>
      <c r="NG11" s="178"/>
      <c r="NH11" s="178"/>
      <c r="NI11" s="178"/>
      <c r="NJ11" s="178"/>
      <c r="NK11" s="178"/>
      <c r="NL11" s="178"/>
      <c r="NM11" s="178"/>
      <c r="NN11" s="178"/>
      <c r="NO11" s="178"/>
      <c r="NP11" s="178"/>
      <c r="NQ11" s="178"/>
      <c r="NR11" s="178"/>
      <c r="NS11" s="178"/>
      <c r="NT11" s="178"/>
      <c r="NU11" s="178"/>
      <c r="NV11" s="178"/>
      <c r="NW11" s="178"/>
      <c r="NX11" s="178"/>
      <c r="NY11" s="178"/>
      <c r="NZ11" s="178"/>
      <c r="OA11" s="178"/>
      <c r="OB11" s="178"/>
      <c r="OC11" s="178"/>
      <c r="OD11" s="178"/>
      <c r="OE11" s="178"/>
      <c r="OF11" s="178"/>
      <c r="OG11" s="178"/>
      <c r="OH11" s="178"/>
      <c r="OI11" s="178"/>
      <c r="OJ11" s="178"/>
      <c r="OK11" s="178"/>
      <c r="OL11" s="178"/>
      <c r="OM11" s="178"/>
      <c r="ON11" s="178"/>
      <c r="OO11" s="178"/>
      <c r="OP11" s="178"/>
      <c r="OQ11" s="178"/>
      <c r="OR11" s="178"/>
      <c r="OS11" s="178"/>
      <c r="OT11" s="178"/>
      <c r="OU11" s="178"/>
      <c r="OV11" s="178"/>
      <c r="OW11" s="178"/>
      <c r="OX11" s="178"/>
      <c r="OY11" s="178"/>
      <c r="OZ11" s="178"/>
      <c r="PA11" s="178"/>
      <c r="PB11" s="178"/>
      <c r="PC11" s="178"/>
      <c r="PD11" s="178"/>
      <c r="PE11" s="178"/>
      <c r="PF11" s="178"/>
      <c r="PG11" s="178"/>
      <c r="PH11" s="178"/>
      <c r="PI11" s="178"/>
      <c r="PJ11" s="178"/>
      <c r="PK11" s="178"/>
      <c r="PL11" s="178"/>
      <c r="PM11" s="178"/>
      <c r="PN11" s="178"/>
      <c r="PO11" s="178"/>
      <c r="PP11" s="178"/>
      <c r="PQ11" s="178"/>
      <c r="PR11" s="178"/>
      <c r="PS11" s="178"/>
      <c r="PT11" s="178"/>
      <c r="PU11" s="178"/>
      <c r="PV11" s="178"/>
      <c r="PW11" s="178"/>
      <c r="PX11" s="178"/>
      <c r="PY11" s="178"/>
      <c r="PZ11" s="178"/>
      <c r="QA11" s="178"/>
      <c r="QB11" s="178"/>
      <c r="QC11" s="178"/>
      <c r="QD11" s="178"/>
      <c r="QE11" s="178"/>
      <c r="QF11" s="178"/>
      <c r="QG11" s="178"/>
      <c r="QH11" s="178"/>
      <c r="QI11" s="178"/>
      <c r="QJ11" s="178"/>
      <c r="QK11" s="178"/>
      <c r="QL11" s="178"/>
      <c r="QM11" s="178"/>
      <c r="QN11" s="178"/>
      <c r="QO11" s="178"/>
      <c r="QP11" s="178"/>
      <c r="QQ11" s="178"/>
      <c r="QR11" s="178"/>
      <c r="QS11" s="178"/>
      <c r="QT11" s="178"/>
      <c r="QU11" s="178"/>
      <c r="QV11" s="178"/>
      <c r="QW11" s="178"/>
      <c r="QX11" s="178"/>
      <c r="QY11" s="178"/>
      <c r="QZ11" s="178"/>
      <c r="RA11" s="178"/>
      <c r="RB11" s="178"/>
      <c r="RC11" s="178"/>
      <c r="RD11" s="178"/>
      <c r="RE11" s="178"/>
      <c r="RF11" s="178"/>
      <c r="RG11" s="178"/>
      <c r="RH11" s="178"/>
      <c r="RI11" s="178"/>
      <c r="RJ11" s="178"/>
      <c r="RK11" s="178"/>
      <c r="RL11" s="178"/>
      <c r="RM11" s="178"/>
      <c r="RN11" s="178"/>
      <c r="RO11" s="178"/>
      <c r="RP11" s="178"/>
      <c r="RQ11" s="178"/>
      <c r="RR11" s="178"/>
      <c r="RS11" s="178"/>
      <c r="RT11" s="178"/>
      <c r="RU11" s="178"/>
      <c r="RV11" s="178"/>
      <c r="RW11" s="178"/>
      <c r="RX11" s="178"/>
      <c r="RY11" s="178"/>
      <c r="RZ11" s="178"/>
      <c r="SA11" s="178"/>
      <c r="SB11" s="178"/>
      <c r="SC11" s="178"/>
      <c r="SD11" s="178"/>
      <c r="SE11" s="178"/>
      <c r="SF11" s="178"/>
      <c r="SG11" s="178"/>
      <c r="SH11" s="178"/>
      <c r="SI11" s="178"/>
      <c r="SJ11" s="178"/>
      <c r="SK11" s="178"/>
      <c r="SL11" s="178"/>
      <c r="SM11" s="178"/>
      <c r="SN11" s="178"/>
      <c r="SO11" s="178"/>
      <c r="SP11" s="178"/>
      <c r="SQ11" s="178"/>
      <c r="SR11" s="178"/>
      <c r="SS11" s="178"/>
      <c r="ST11" s="178"/>
      <c r="SU11" s="178"/>
      <c r="SV11" s="178"/>
      <c r="SW11" s="178"/>
      <c r="SX11" s="178"/>
      <c r="SY11" s="178"/>
      <c r="SZ11" s="178"/>
      <c r="TA11" s="178"/>
      <c r="TB11" s="178"/>
      <c r="TC11" s="178"/>
      <c r="TD11" s="178"/>
      <c r="TE11" s="178"/>
      <c r="TF11" s="178"/>
      <c r="TG11" s="178"/>
      <c r="TH11" s="178"/>
      <c r="TI11" s="178"/>
      <c r="TJ11" s="178"/>
      <c r="TK11" s="178"/>
      <c r="TL11" s="178"/>
      <c r="TM11" s="178"/>
      <c r="TN11" s="178"/>
      <c r="TO11" s="178"/>
      <c r="TP11" s="178"/>
      <c r="TQ11" s="178"/>
      <c r="TR11" s="178"/>
      <c r="TS11" s="178"/>
      <c r="TT11" s="178"/>
      <c r="TU11" s="178"/>
      <c r="TV11" s="178"/>
      <c r="TW11" s="178"/>
      <c r="TX11" s="178"/>
      <c r="TY11" s="178"/>
      <c r="TZ11" s="178"/>
      <c r="UA11" s="178"/>
      <c r="UB11" s="178"/>
      <c r="UC11" s="178"/>
      <c r="UD11" s="178"/>
      <c r="UE11" s="178"/>
      <c r="UF11" s="178"/>
      <c r="UG11" s="178"/>
      <c r="UH11" s="178"/>
      <c r="UI11" s="178"/>
      <c r="UJ11" s="178"/>
      <c r="UK11" s="178"/>
      <c r="UL11" s="178"/>
      <c r="UM11" s="178"/>
      <c r="UN11" s="178"/>
      <c r="UO11" s="178"/>
      <c r="UP11" s="178"/>
      <c r="UQ11" s="178"/>
      <c r="UR11" s="178"/>
      <c r="US11" s="178"/>
      <c r="UT11" s="178"/>
      <c r="UU11" s="178"/>
      <c r="UV11" s="178"/>
      <c r="UW11" s="178"/>
      <c r="UX11" s="178"/>
      <c r="UY11" s="178"/>
      <c r="UZ11" s="178"/>
      <c r="VA11" s="178"/>
      <c r="VB11" s="178"/>
      <c r="VC11" s="178"/>
      <c r="VD11" s="178"/>
      <c r="VE11" s="178"/>
      <c r="VF11" s="178"/>
      <c r="VG11" s="178"/>
      <c r="VH11" s="178"/>
      <c r="VI11" s="178"/>
      <c r="VJ11" s="178"/>
      <c r="VK11" s="178"/>
      <c r="VL11" s="178"/>
      <c r="VM11" s="178"/>
      <c r="VN11" s="178"/>
      <c r="VO11" s="178"/>
      <c r="VP11" s="178"/>
      <c r="VQ11" s="178"/>
      <c r="VR11" s="178"/>
      <c r="VS11" s="178"/>
      <c r="VT11" s="178"/>
      <c r="VU11" s="178"/>
      <c r="VV11" s="178"/>
      <c r="VW11" s="178"/>
      <c r="VX11" s="178"/>
      <c r="VY11" s="178"/>
      <c r="VZ11" s="178"/>
      <c r="WA11" s="178"/>
      <c r="WB11" s="178"/>
      <c r="WC11" s="178"/>
      <c r="WD11" s="178"/>
      <c r="WE11" s="178"/>
      <c r="WF11" s="178"/>
      <c r="WG11" s="178"/>
      <c r="WH11" s="178"/>
      <c r="WI11" s="178"/>
      <c r="WJ11" s="178"/>
      <c r="WK11" s="178"/>
      <c r="WL11" s="178"/>
      <c r="WM11" s="178"/>
      <c r="WN11" s="178"/>
      <c r="WO11" s="178"/>
      <c r="WP11" s="178"/>
      <c r="WQ11" s="178"/>
      <c r="WR11" s="178"/>
      <c r="WS11" s="178"/>
      <c r="WT11" s="178"/>
      <c r="WU11" s="178"/>
      <c r="WV11" s="178"/>
      <c r="WW11" s="178"/>
      <c r="WX11" s="178"/>
      <c r="WY11" s="178"/>
      <c r="WZ11" s="178"/>
      <c r="XA11" s="178"/>
      <c r="XB11" s="178"/>
      <c r="XC11" s="178"/>
      <c r="XD11" s="178"/>
      <c r="XE11" s="178"/>
      <c r="XF11" s="178"/>
      <c r="XG11" s="178"/>
      <c r="XH11" s="178"/>
      <c r="XI11" s="178"/>
      <c r="XJ11" s="178"/>
      <c r="XK11" s="178"/>
      <c r="XL11" s="178"/>
      <c r="XM11" s="178"/>
      <c r="XN11" s="178"/>
      <c r="XO11" s="178"/>
      <c r="XP11" s="178"/>
      <c r="XQ11" s="178"/>
      <c r="XR11" s="178"/>
      <c r="XS11" s="178"/>
      <c r="XT11" s="178"/>
      <c r="XU11" s="178"/>
      <c r="XV11" s="178"/>
      <c r="XW11" s="178"/>
      <c r="XX11" s="178"/>
      <c r="XY11" s="178"/>
      <c r="XZ11" s="178"/>
      <c r="YA11" s="178"/>
      <c r="YB11" s="178"/>
      <c r="YC11" s="178"/>
      <c r="YD11" s="178"/>
      <c r="YE11" s="178"/>
      <c r="YF11" s="178"/>
      <c r="YG11" s="178"/>
      <c r="YH11" s="178"/>
      <c r="YI11" s="178"/>
      <c r="YJ11" s="178"/>
      <c r="YK11" s="178"/>
      <c r="YL11" s="178"/>
      <c r="YM11" s="178"/>
      <c r="YN11" s="178"/>
      <c r="YO11" s="178"/>
      <c r="YP11" s="178"/>
      <c r="YQ11" s="178"/>
      <c r="YR11" s="178"/>
      <c r="YS11" s="178"/>
      <c r="YT11" s="178"/>
      <c r="YU11" s="178"/>
      <c r="YV11" s="178"/>
      <c r="YW11" s="178"/>
      <c r="YX11" s="178"/>
      <c r="YY11" s="178"/>
      <c r="YZ11" s="178"/>
      <c r="ZA11" s="178"/>
      <c r="ZB11" s="178"/>
      <c r="ZC11" s="178"/>
      <c r="ZD11" s="178"/>
      <c r="ZE11" s="178"/>
      <c r="ZF11" s="178"/>
      <c r="ZG11" s="178"/>
      <c r="ZH11" s="178"/>
      <c r="ZI11" s="178"/>
      <c r="ZJ11" s="178"/>
      <c r="ZK11" s="178"/>
      <c r="ZL11" s="178"/>
      <c r="ZM11" s="178"/>
      <c r="ZN11" s="178"/>
      <c r="ZO11" s="178"/>
      <c r="ZP11" s="178"/>
      <c r="ZQ11" s="178"/>
      <c r="ZR11" s="178"/>
      <c r="ZS11" s="178"/>
      <c r="ZT11" s="178"/>
      <c r="ZU11" s="178"/>
      <c r="ZV11" s="178"/>
      <c r="ZW11" s="178"/>
      <c r="ZX11" s="178"/>
      <c r="ZY11" s="178"/>
      <c r="ZZ11" s="178"/>
      <c r="AAA11" s="178"/>
      <c r="AAB11" s="178"/>
      <c r="AAC11" s="178"/>
      <c r="AAD11" s="178"/>
      <c r="AAE11" s="178"/>
      <c r="AAF11" s="178"/>
      <c r="AAG11" s="178"/>
      <c r="AAH11" s="178"/>
      <c r="AAI11" s="178"/>
      <c r="AAJ11" s="178"/>
      <c r="AAK11" s="178"/>
      <c r="AAL11" s="178"/>
      <c r="AAM11" s="178"/>
      <c r="AAN11" s="178"/>
      <c r="AAO11" s="178"/>
      <c r="AAP11" s="178"/>
      <c r="AAQ11" s="178"/>
      <c r="AAR11" s="178"/>
      <c r="AAS11" s="178"/>
      <c r="AAT11" s="178"/>
      <c r="AAU11" s="178"/>
      <c r="AAV11" s="178"/>
      <c r="AAW11" s="178"/>
      <c r="AAX11" s="178"/>
      <c r="AAY11" s="178"/>
      <c r="AAZ11" s="178"/>
      <c r="ABA11" s="178"/>
      <c r="ABB11" s="178"/>
      <c r="ABC11" s="178"/>
      <c r="ABD11" s="178"/>
      <c r="ABE11" s="178"/>
      <c r="ABF11" s="178"/>
      <c r="ABG11" s="178"/>
      <c r="ABH11" s="178"/>
      <c r="ABI11" s="178"/>
      <c r="ABJ11" s="178"/>
      <c r="ABK11" s="178"/>
      <c r="ABL11" s="178"/>
      <c r="ABM11" s="178"/>
      <c r="ABN11" s="178"/>
      <c r="ABO11" s="178"/>
      <c r="ABP11" s="178"/>
      <c r="ABQ11" s="178"/>
      <c r="ABR11" s="178"/>
      <c r="ABS11" s="178"/>
      <c r="ABT11" s="178"/>
      <c r="ABU11" s="178"/>
      <c r="ABV11" s="178"/>
      <c r="ABW11" s="178"/>
      <c r="ABX11" s="178"/>
      <c r="ABY11" s="178"/>
      <c r="ABZ11" s="178"/>
      <c r="ACA11" s="178"/>
      <c r="ACB11" s="178"/>
      <c r="ACC11" s="178"/>
      <c r="ACD11" s="178"/>
      <c r="ACE11" s="178"/>
      <c r="ACF11" s="178"/>
      <c r="ACG11" s="178"/>
      <c r="ACH11" s="178"/>
      <c r="ACI11" s="178"/>
      <c r="ACJ11" s="178"/>
      <c r="ACK11" s="178"/>
      <c r="ACL11" s="178"/>
      <c r="ACM11" s="178"/>
      <c r="ACN11" s="178"/>
      <c r="ACO11" s="178"/>
      <c r="ACP11" s="178"/>
      <c r="ACQ11" s="178"/>
      <c r="ACR11" s="178"/>
      <c r="ACS11" s="178"/>
      <c r="ACT11" s="178"/>
      <c r="ACU11" s="178"/>
      <c r="ACV11" s="178"/>
      <c r="ACW11" s="178"/>
      <c r="ACX11" s="178"/>
      <c r="ACY11" s="178"/>
      <c r="ACZ11" s="178"/>
      <c r="ADA11" s="178"/>
      <c r="ADB11" s="178"/>
      <c r="ADC11" s="178"/>
      <c r="ADD11" s="178"/>
      <c r="ADE11" s="178"/>
      <c r="ADF11" s="178"/>
      <c r="ADG11" s="178"/>
      <c r="ADH11" s="178"/>
      <c r="ADI11" s="178"/>
      <c r="ADJ11" s="178"/>
      <c r="ADK11" s="178"/>
      <c r="ADL11" s="178"/>
      <c r="ADM11" s="178"/>
      <c r="ADN11" s="178"/>
      <c r="ADO11" s="178"/>
      <c r="ADP11" s="178"/>
      <c r="ADQ11" s="178"/>
      <c r="ADR11" s="178"/>
      <c r="ADS11" s="178"/>
      <c r="ADT11" s="178"/>
      <c r="ADU11" s="178"/>
      <c r="ADV11" s="178"/>
      <c r="ADW11" s="178"/>
      <c r="ADX11" s="178"/>
      <c r="ADY11" s="178"/>
      <c r="ADZ11" s="178"/>
      <c r="AEA11" s="178"/>
      <c r="AEB11" s="178"/>
      <c r="AEC11" s="178"/>
      <c r="AED11" s="178"/>
      <c r="AEE11" s="178"/>
      <c r="AEF11" s="178"/>
      <c r="AEG11" s="178"/>
      <c r="AEH11" s="178"/>
      <c r="AEI11" s="178"/>
      <c r="AEJ11" s="178"/>
      <c r="AEK11" s="178"/>
      <c r="AEL11" s="178"/>
      <c r="AEM11" s="178"/>
      <c r="AEN11" s="178"/>
      <c r="AEO11" s="178"/>
      <c r="AEP11" s="178"/>
      <c r="AEQ11" s="178"/>
      <c r="AER11" s="178"/>
      <c r="AES11" s="178"/>
      <c r="AET11" s="178"/>
      <c r="AEU11" s="178"/>
      <c r="AEV11" s="178"/>
      <c r="AEW11" s="178"/>
      <c r="AEX11" s="178"/>
      <c r="AEY11" s="178"/>
      <c r="AEZ11" s="178"/>
      <c r="AFA11" s="178"/>
      <c r="AFB11" s="178"/>
      <c r="AFC11" s="178"/>
      <c r="AFD11" s="178"/>
      <c r="AFE11" s="178"/>
      <c r="AFF11" s="178"/>
      <c r="AFG11" s="178"/>
      <c r="AFH11" s="178"/>
      <c r="AFI11" s="178"/>
      <c r="AFJ11" s="178"/>
      <c r="AFK11" s="178"/>
      <c r="AFL11" s="178"/>
      <c r="AFM11" s="178"/>
      <c r="AFN11" s="178"/>
      <c r="AFO11" s="178"/>
      <c r="AFP11" s="178"/>
      <c r="AFQ11" s="178"/>
      <c r="AFR11" s="178"/>
      <c r="AFS11" s="178"/>
      <c r="AFT11" s="178"/>
      <c r="AFU11" s="178"/>
      <c r="AFV11" s="178"/>
      <c r="AFW11" s="178"/>
      <c r="AFX11" s="178"/>
      <c r="AFY11" s="178"/>
      <c r="AFZ11" s="178"/>
      <c r="AGA11" s="178"/>
      <c r="AGB11" s="178"/>
      <c r="AGC11" s="178"/>
      <c r="AGD11" s="178"/>
      <c r="AGE11" s="178"/>
      <c r="AGF11" s="178"/>
      <c r="AGG11" s="178"/>
      <c r="AGH11" s="178"/>
      <c r="AGI11" s="178"/>
      <c r="AGJ11" s="178"/>
      <c r="AGK11" s="178"/>
      <c r="AGL11" s="178"/>
      <c r="AGM11" s="178"/>
      <c r="AGN11" s="178"/>
      <c r="AGO11" s="178"/>
      <c r="AGP11" s="178"/>
      <c r="AGQ11" s="178"/>
      <c r="AGR11" s="178"/>
      <c r="AGS11" s="178"/>
      <c r="AGT11" s="178"/>
      <c r="AGU11" s="178"/>
      <c r="AGV11" s="178"/>
      <c r="AGW11" s="178"/>
      <c r="AGX11" s="178"/>
      <c r="AGY11" s="178"/>
      <c r="AGZ11" s="178"/>
      <c r="AHA11" s="178"/>
      <c r="AHB11" s="178"/>
      <c r="AHC11" s="178"/>
      <c r="AHD11" s="178"/>
      <c r="AHE11" s="178"/>
      <c r="AHF11" s="178"/>
      <c r="AHG11" s="178"/>
      <c r="AHH11" s="178"/>
      <c r="AHI11" s="178"/>
      <c r="AHJ11" s="178"/>
      <c r="AHK11" s="178"/>
      <c r="AHL11" s="178"/>
      <c r="AHM11" s="178"/>
      <c r="AHN11" s="178"/>
      <c r="AHO11" s="178"/>
      <c r="AHP11" s="178"/>
      <c r="AHQ11" s="178"/>
      <c r="AHR11" s="178"/>
      <c r="AHS11" s="178"/>
      <c r="AHT11" s="178"/>
      <c r="AHU11" s="178"/>
      <c r="AHV11" s="178"/>
      <c r="AHW11" s="178"/>
      <c r="AHX11" s="178"/>
      <c r="AHY11" s="178"/>
      <c r="AHZ11" s="178"/>
      <c r="AIA11" s="178"/>
      <c r="AIB11" s="178"/>
      <c r="AIC11" s="178"/>
      <c r="AID11" s="178"/>
      <c r="AIE11" s="178"/>
      <c r="AIF11" s="178"/>
      <c r="AIG11" s="178"/>
      <c r="AIH11" s="178"/>
      <c r="AII11" s="178"/>
    </row>
    <row r="12" spans="1:919" s="179" customFormat="1" ht="13.5" customHeight="1">
      <c r="A12" s="177"/>
      <c r="B12" s="177"/>
      <c r="C12" s="177"/>
      <c r="D12" s="177"/>
      <c r="E12" s="387" t="s">
        <v>2081</v>
      </c>
      <c r="F12" s="187"/>
      <c r="G12" s="183"/>
      <c r="H12" s="528"/>
      <c r="I12" s="530"/>
      <c r="J12" s="184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  <c r="IW12" s="178"/>
      <c r="IX12" s="178"/>
      <c r="IY12" s="178"/>
      <c r="IZ12" s="178"/>
      <c r="JA12" s="178"/>
      <c r="JB12" s="178"/>
      <c r="JC12" s="178"/>
      <c r="JD12" s="178"/>
      <c r="JE12" s="178"/>
      <c r="JF12" s="178"/>
      <c r="JG12" s="178"/>
      <c r="JH12" s="178"/>
      <c r="JI12" s="178"/>
      <c r="JJ12" s="178"/>
      <c r="JK12" s="178"/>
      <c r="JL12" s="178"/>
      <c r="JM12" s="178"/>
      <c r="JN12" s="178"/>
      <c r="JO12" s="178"/>
      <c r="JP12" s="178"/>
      <c r="JQ12" s="178"/>
      <c r="JR12" s="178"/>
      <c r="JS12" s="178"/>
      <c r="JT12" s="178"/>
      <c r="JU12" s="178"/>
      <c r="JV12" s="178"/>
      <c r="JW12" s="178"/>
      <c r="JX12" s="178"/>
      <c r="JY12" s="178"/>
      <c r="JZ12" s="178"/>
      <c r="KA12" s="178"/>
      <c r="KB12" s="178"/>
      <c r="KC12" s="178"/>
      <c r="KD12" s="178"/>
      <c r="KE12" s="178"/>
      <c r="KF12" s="178"/>
      <c r="KG12" s="178"/>
      <c r="KH12" s="178"/>
      <c r="KI12" s="178"/>
      <c r="KJ12" s="178"/>
      <c r="KK12" s="178"/>
      <c r="KL12" s="178"/>
      <c r="KM12" s="178"/>
      <c r="KN12" s="178"/>
      <c r="KO12" s="178"/>
      <c r="KP12" s="178"/>
      <c r="KQ12" s="178"/>
      <c r="KR12" s="178"/>
      <c r="KS12" s="178"/>
      <c r="KT12" s="178"/>
      <c r="KU12" s="178"/>
      <c r="KV12" s="178"/>
      <c r="KW12" s="178"/>
      <c r="KX12" s="178"/>
      <c r="KY12" s="178"/>
      <c r="KZ12" s="178"/>
      <c r="LA12" s="178"/>
      <c r="LB12" s="178"/>
      <c r="LC12" s="178"/>
      <c r="LD12" s="178"/>
      <c r="LE12" s="178"/>
      <c r="LF12" s="178"/>
      <c r="LG12" s="178"/>
      <c r="LH12" s="178"/>
      <c r="LI12" s="178"/>
      <c r="LJ12" s="178"/>
      <c r="LK12" s="178"/>
      <c r="LL12" s="178"/>
      <c r="LM12" s="178"/>
      <c r="LN12" s="178"/>
      <c r="LO12" s="178"/>
      <c r="LP12" s="178"/>
      <c r="LQ12" s="178"/>
      <c r="LR12" s="178"/>
      <c r="LS12" s="178"/>
      <c r="LT12" s="178"/>
      <c r="LU12" s="178"/>
      <c r="LV12" s="178"/>
      <c r="LW12" s="178"/>
      <c r="LX12" s="178"/>
      <c r="LY12" s="178"/>
      <c r="LZ12" s="178"/>
      <c r="MA12" s="178"/>
      <c r="MB12" s="178"/>
      <c r="MC12" s="178"/>
      <c r="MD12" s="178"/>
      <c r="ME12" s="178"/>
      <c r="MF12" s="178"/>
      <c r="MG12" s="178"/>
      <c r="MH12" s="178"/>
      <c r="MI12" s="178"/>
      <c r="MJ12" s="178"/>
      <c r="MK12" s="178"/>
      <c r="ML12" s="178"/>
      <c r="MM12" s="178"/>
      <c r="MN12" s="178"/>
      <c r="MO12" s="178"/>
      <c r="MP12" s="178"/>
      <c r="MQ12" s="178"/>
      <c r="MR12" s="178"/>
      <c r="MS12" s="178"/>
      <c r="MT12" s="178"/>
      <c r="MU12" s="178"/>
      <c r="MV12" s="178"/>
      <c r="MW12" s="178"/>
      <c r="MX12" s="178"/>
      <c r="MY12" s="178"/>
      <c r="MZ12" s="178"/>
      <c r="NA12" s="178"/>
      <c r="NB12" s="178"/>
      <c r="NC12" s="178"/>
      <c r="ND12" s="178"/>
      <c r="NE12" s="178"/>
      <c r="NF12" s="178"/>
      <c r="NG12" s="178"/>
      <c r="NH12" s="178"/>
      <c r="NI12" s="178"/>
      <c r="NJ12" s="178"/>
      <c r="NK12" s="178"/>
      <c r="NL12" s="178"/>
      <c r="NM12" s="178"/>
      <c r="NN12" s="178"/>
      <c r="NO12" s="178"/>
      <c r="NP12" s="178"/>
      <c r="NQ12" s="178"/>
      <c r="NR12" s="178"/>
      <c r="NS12" s="178"/>
      <c r="NT12" s="178"/>
      <c r="NU12" s="178"/>
      <c r="NV12" s="178"/>
      <c r="NW12" s="178"/>
      <c r="NX12" s="178"/>
      <c r="NY12" s="178"/>
      <c r="NZ12" s="178"/>
      <c r="OA12" s="178"/>
      <c r="OB12" s="178"/>
      <c r="OC12" s="178"/>
      <c r="OD12" s="178"/>
      <c r="OE12" s="178"/>
      <c r="OF12" s="178"/>
      <c r="OG12" s="178"/>
      <c r="OH12" s="178"/>
      <c r="OI12" s="178"/>
      <c r="OJ12" s="178"/>
      <c r="OK12" s="178"/>
      <c r="OL12" s="178"/>
      <c r="OM12" s="178"/>
      <c r="ON12" s="178"/>
      <c r="OO12" s="178"/>
      <c r="OP12" s="178"/>
      <c r="OQ12" s="178"/>
      <c r="OR12" s="178"/>
      <c r="OS12" s="178"/>
      <c r="OT12" s="178"/>
      <c r="OU12" s="178"/>
      <c r="OV12" s="178"/>
      <c r="OW12" s="178"/>
      <c r="OX12" s="178"/>
      <c r="OY12" s="178"/>
      <c r="OZ12" s="178"/>
      <c r="PA12" s="178"/>
      <c r="PB12" s="178"/>
      <c r="PC12" s="178"/>
      <c r="PD12" s="178"/>
      <c r="PE12" s="178"/>
      <c r="PF12" s="178"/>
      <c r="PG12" s="178"/>
      <c r="PH12" s="178"/>
      <c r="PI12" s="178"/>
      <c r="PJ12" s="178"/>
      <c r="PK12" s="178"/>
      <c r="PL12" s="178"/>
      <c r="PM12" s="178"/>
      <c r="PN12" s="178"/>
      <c r="PO12" s="178"/>
      <c r="PP12" s="178"/>
      <c r="PQ12" s="178"/>
      <c r="PR12" s="178"/>
      <c r="PS12" s="178"/>
      <c r="PT12" s="178"/>
      <c r="PU12" s="178"/>
      <c r="PV12" s="178"/>
      <c r="PW12" s="178"/>
      <c r="PX12" s="178"/>
      <c r="PY12" s="178"/>
      <c r="PZ12" s="178"/>
      <c r="QA12" s="178"/>
      <c r="QB12" s="178"/>
      <c r="QC12" s="178"/>
      <c r="QD12" s="178"/>
      <c r="QE12" s="178"/>
      <c r="QF12" s="178"/>
      <c r="QG12" s="178"/>
      <c r="QH12" s="178"/>
      <c r="QI12" s="178"/>
      <c r="QJ12" s="178"/>
      <c r="QK12" s="178"/>
      <c r="QL12" s="178"/>
      <c r="QM12" s="178"/>
      <c r="QN12" s="178"/>
      <c r="QO12" s="178"/>
      <c r="QP12" s="178"/>
      <c r="QQ12" s="178"/>
      <c r="QR12" s="178"/>
      <c r="QS12" s="178"/>
      <c r="QT12" s="178"/>
      <c r="QU12" s="178"/>
      <c r="QV12" s="178"/>
      <c r="QW12" s="178"/>
      <c r="QX12" s="178"/>
      <c r="QY12" s="178"/>
      <c r="QZ12" s="178"/>
      <c r="RA12" s="178"/>
      <c r="RB12" s="178"/>
      <c r="RC12" s="178"/>
      <c r="RD12" s="178"/>
      <c r="RE12" s="178"/>
      <c r="RF12" s="178"/>
      <c r="RG12" s="178"/>
      <c r="RH12" s="178"/>
      <c r="RI12" s="178"/>
      <c r="RJ12" s="178"/>
      <c r="RK12" s="178"/>
      <c r="RL12" s="178"/>
      <c r="RM12" s="178"/>
      <c r="RN12" s="178"/>
      <c r="RO12" s="178"/>
      <c r="RP12" s="178"/>
      <c r="RQ12" s="178"/>
      <c r="RR12" s="178"/>
      <c r="RS12" s="178"/>
      <c r="RT12" s="178"/>
      <c r="RU12" s="178"/>
      <c r="RV12" s="178"/>
      <c r="RW12" s="178"/>
      <c r="RX12" s="178"/>
      <c r="RY12" s="178"/>
      <c r="RZ12" s="178"/>
      <c r="SA12" s="178"/>
      <c r="SB12" s="178"/>
      <c r="SC12" s="178"/>
      <c r="SD12" s="178"/>
      <c r="SE12" s="178"/>
      <c r="SF12" s="178"/>
      <c r="SG12" s="178"/>
      <c r="SH12" s="178"/>
      <c r="SI12" s="178"/>
      <c r="SJ12" s="178"/>
      <c r="SK12" s="178"/>
      <c r="SL12" s="178"/>
      <c r="SM12" s="178"/>
      <c r="SN12" s="178"/>
      <c r="SO12" s="178"/>
      <c r="SP12" s="178"/>
      <c r="SQ12" s="178"/>
      <c r="SR12" s="178"/>
      <c r="SS12" s="178"/>
      <c r="ST12" s="178"/>
      <c r="SU12" s="178"/>
      <c r="SV12" s="178"/>
      <c r="SW12" s="178"/>
      <c r="SX12" s="178"/>
      <c r="SY12" s="178"/>
      <c r="SZ12" s="178"/>
      <c r="TA12" s="178"/>
      <c r="TB12" s="178"/>
      <c r="TC12" s="178"/>
      <c r="TD12" s="178"/>
      <c r="TE12" s="178"/>
      <c r="TF12" s="178"/>
      <c r="TG12" s="178"/>
      <c r="TH12" s="178"/>
      <c r="TI12" s="178"/>
      <c r="TJ12" s="178"/>
      <c r="TK12" s="178"/>
      <c r="TL12" s="178"/>
      <c r="TM12" s="178"/>
      <c r="TN12" s="178"/>
      <c r="TO12" s="178"/>
      <c r="TP12" s="178"/>
      <c r="TQ12" s="178"/>
      <c r="TR12" s="178"/>
      <c r="TS12" s="178"/>
      <c r="TT12" s="178"/>
      <c r="TU12" s="178"/>
      <c r="TV12" s="178"/>
      <c r="TW12" s="178"/>
      <c r="TX12" s="178"/>
      <c r="TY12" s="178"/>
      <c r="TZ12" s="178"/>
      <c r="UA12" s="178"/>
      <c r="UB12" s="178"/>
      <c r="UC12" s="178"/>
      <c r="UD12" s="178"/>
      <c r="UE12" s="178"/>
      <c r="UF12" s="178"/>
      <c r="UG12" s="178"/>
      <c r="UH12" s="178"/>
      <c r="UI12" s="178"/>
      <c r="UJ12" s="178"/>
      <c r="UK12" s="178"/>
      <c r="UL12" s="178"/>
      <c r="UM12" s="178"/>
      <c r="UN12" s="178"/>
      <c r="UO12" s="178"/>
      <c r="UP12" s="178"/>
      <c r="UQ12" s="178"/>
      <c r="UR12" s="178"/>
      <c r="US12" s="178"/>
      <c r="UT12" s="178"/>
      <c r="UU12" s="178"/>
      <c r="UV12" s="178"/>
      <c r="UW12" s="178"/>
      <c r="UX12" s="178"/>
      <c r="UY12" s="178"/>
      <c r="UZ12" s="178"/>
      <c r="VA12" s="178"/>
      <c r="VB12" s="178"/>
      <c r="VC12" s="178"/>
      <c r="VD12" s="178"/>
      <c r="VE12" s="178"/>
      <c r="VF12" s="178"/>
      <c r="VG12" s="178"/>
      <c r="VH12" s="178"/>
      <c r="VI12" s="178"/>
      <c r="VJ12" s="178"/>
      <c r="VK12" s="178"/>
      <c r="VL12" s="178"/>
      <c r="VM12" s="178"/>
      <c r="VN12" s="178"/>
      <c r="VO12" s="178"/>
      <c r="VP12" s="178"/>
      <c r="VQ12" s="178"/>
      <c r="VR12" s="178"/>
      <c r="VS12" s="178"/>
      <c r="VT12" s="178"/>
      <c r="VU12" s="178"/>
      <c r="VV12" s="178"/>
      <c r="VW12" s="178"/>
      <c r="VX12" s="178"/>
      <c r="VY12" s="178"/>
      <c r="VZ12" s="178"/>
      <c r="WA12" s="178"/>
      <c r="WB12" s="178"/>
      <c r="WC12" s="178"/>
      <c r="WD12" s="178"/>
      <c r="WE12" s="178"/>
      <c r="WF12" s="178"/>
      <c r="WG12" s="178"/>
      <c r="WH12" s="178"/>
      <c r="WI12" s="178"/>
      <c r="WJ12" s="178"/>
      <c r="WK12" s="178"/>
      <c r="WL12" s="178"/>
      <c r="WM12" s="178"/>
      <c r="WN12" s="178"/>
      <c r="WO12" s="178"/>
      <c r="WP12" s="178"/>
      <c r="WQ12" s="178"/>
      <c r="WR12" s="178"/>
      <c r="WS12" s="178"/>
      <c r="WT12" s="178"/>
      <c r="WU12" s="178"/>
      <c r="WV12" s="178"/>
      <c r="WW12" s="178"/>
      <c r="WX12" s="178"/>
      <c r="WY12" s="178"/>
      <c r="WZ12" s="178"/>
      <c r="XA12" s="178"/>
      <c r="XB12" s="178"/>
      <c r="XC12" s="178"/>
      <c r="XD12" s="178"/>
      <c r="XE12" s="178"/>
      <c r="XF12" s="178"/>
      <c r="XG12" s="178"/>
      <c r="XH12" s="178"/>
      <c r="XI12" s="178"/>
      <c r="XJ12" s="178"/>
      <c r="XK12" s="178"/>
      <c r="XL12" s="178"/>
      <c r="XM12" s="178"/>
      <c r="XN12" s="178"/>
      <c r="XO12" s="178"/>
      <c r="XP12" s="178"/>
      <c r="XQ12" s="178"/>
      <c r="XR12" s="178"/>
      <c r="XS12" s="178"/>
      <c r="XT12" s="178"/>
      <c r="XU12" s="178"/>
      <c r="XV12" s="178"/>
      <c r="XW12" s="178"/>
      <c r="XX12" s="178"/>
      <c r="XY12" s="178"/>
      <c r="XZ12" s="178"/>
      <c r="YA12" s="178"/>
      <c r="YB12" s="178"/>
      <c r="YC12" s="178"/>
      <c r="YD12" s="178"/>
      <c r="YE12" s="178"/>
      <c r="YF12" s="178"/>
      <c r="YG12" s="178"/>
      <c r="YH12" s="178"/>
      <c r="YI12" s="178"/>
      <c r="YJ12" s="178"/>
      <c r="YK12" s="178"/>
      <c r="YL12" s="178"/>
      <c r="YM12" s="178"/>
      <c r="YN12" s="178"/>
      <c r="YO12" s="178"/>
      <c r="YP12" s="178"/>
      <c r="YQ12" s="178"/>
      <c r="YR12" s="178"/>
      <c r="YS12" s="178"/>
      <c r="YT12" s="178"/>
      <c r="YU12" s="178"/>
      <c r="YV12" s="178"/>
      <c r="YW12" s="178"/>
      <c r="YX12" s="178"/>
      <c r="YY12" s="178"/>
      <c r="YZ12" s="178"/>
      <c r="ZA12" s="178"/>
      <c r="ZB12" s="178"/>
      <c r="ZC12" s="178"/>
      <c r="ZD12" s="178"/>
      <c r="ZE12" s="178"/>
      <c r="ZF12" s="178"/>
      <c r="ZG12" s="178"/>
      <c r="ZH12" s="178"/>
      <c r="ZI12" s="178"/>
      <c r="ZJ12" s="178"/>
      <c r="ZK12" s="178"/>
      <c r="ZL12" s="178"/>
      <c r="ZM12" s="178"/>
      <c r="ZN12" s="178"/>
      <c r="ZO12" s="178"/>
      <c r="ZP12" s="178"/>
      <c r="ZQ12" s="178"/>
      <c r="ZR12" s="178"/>
      <c r="ZS12" s="178"/>
      <c r="ZT12" s="178"/>
      <c r="ZU12" s="178"/>
      <c r="ZV12" s="178"/>
      <c r="ZW12" s="178"/>
      <c r="ZX12" s="178"/>
      <c r="ZY12" s="178"/>
      <c r="ZZ12" s="178"/>
      <c r="AAA12" s="178"/>
      <c r="AAB12" s="178"/>
      <c r="AAC12" s="178"/>
      <c r="AAD12" s="178"/>
      <c r="AAE12" s="178"/>
      <c r="AAF12" s="178"/>
      <c r="AAG12" s="178"/>
      <c r="AAH12" s="178"/>
      <c r="AAI12" s="178"/>
      <c r="AAJ12" s="178"/>
      <c r="AAK12" s="178"/>
      <c r="AAL12" s="178"/>
      <c r="AAM12" s="178"/>
      <c r="AAN12" s="178"/>
      <c r="AAO12" s="178"/>
      <c r="AAP12" s="178"/>
      <c r="AAQ12" s="178"/>
      <c r="AAR12" s="178"/>
      <c r="AAS12" s="178"/>
      <c r="AAT12" s="178"/>
      <c r="AAU12" s="178"/>
      <c r="AAV12" s="178"/>
      <c r="AAW12" s="178"/>
      <c r="AAX12" s="178"/>
      <c r="AAY12" s="178"/>
      <c r="AAZ12" s="178"/>
      <c r="ABA12" s="178"/>
      <c r="ABB12" s="178"/>
      <c r="ABC12" s="178"/>
      <c r="ABD12" s="178"/>
      <c r="ABE12" s="178"/>
      <c r="ABF12" s="178"/>
      <c r="ABG12" s="178"/>
      <c r="ABH12" s="178"/>
      <c r="ABI12" s="178"/>
      <c r="ABJ12" s="178"/>
      <c r="ABK12" s="178"/>
      <c r="ABL12" s="178"/>
      <c r="ABM12" s="178"/>
      <c r="ABN12" s="178"/>
      <c r="ABO12" s="178"/>
      <c r="ABP12" s="178"/>
      <c r="ABQ12" s="178"/>
      <c r="ABR12" s="178"/>
      <c r="ABS12" s="178"/>
      <c r="ABT12" s="178"/>
      <c r="ABU12" s="178"/>
      <c r="ABV12" s="178"/>
      <c r="ABW12" s="178"/>
      <c r="ABX12" s="178"/>
      <c r="ABY12" s="178"/>
      <c r="ABZ12" s="178"/>
      <c r="ACA12" s="178"/>
      <c r="ACB12" s="178"/>
      <c r="ACC12" s="178"/>
      <c r="ACD12" s="178"/>
      <c r="ACE12" s="178"/>
      <c r="ACF12" s="178"/>
      <c r="ACG12" s="178"/>
      <c r="ACH12" s="178"/>
      <c r="ACI12" s="178"/>
      <c r="ACJ12" s="178"/>
      <c r="ACK12" s="178"/>
      <c r="ACL12" s="178"/>
      <c r="ACM12" s="178"/>
      <c r="ACN12" s="178"/>
      <c r="ACO12" s="178"/>
      <c r="ACP12" s="178"/>
      <c r="ACQ12" s="178"/>
      <c r="ACR12" s="178"/>
      <c r="ACS12" s="178"/>
      <c r="ACT12" s="178"/>
      <c r="ACU12" s="178"/>
      <c r="ACV12" s="178"/>
      <c r="ACW12" s="178"/>
      <c r="ACX12" s="178"/>
      <c r="ACY12" s="178"/>
      <c r="ACZ12" s="178"/>
      <c r="ADA12" s="178"/>
      <c r="ADB12" s="178"/>
      <c r="ADC12" s="178"/>
      <c r="ADD12" s="178"/>
      <c r="ADE12" s="178"/>
      <c r="ADF12" s="178"/>
      <c r="ADG12" s="178"/>
      <c r="ADH12" s="178"/>
      <c r="ADI12" s="178"/>
      <c r="ADJ12" s="178"/>
      <c r="ADK12" s="178"/>
      <c r="ADL12" s="178"/>
      <c r="ADM12" s="178"/>
      <c r="ADN12" s="178"/>
      <c r="ADO12" s="178"/>
      <c r="ADP12" s="178"/>
      <c r="ADQ12" s="178"/>
      <c r="ADR12" s="178"/>
      <c r="ADS12" s="178"/>
      <c r="ADT12" s="178"/>
      <c r="ADU12" s="178"/>
      <c r="ADV12" s="178"/>
      <c r="ADW12" s="178"/>
      <c r="ADX12" s="178"/>
      <c r="ADY12" s="178"/>
      <c r="ADZ12" s="178"/>
      <c r="AEA12" s="178"/>
      <c r="AEB12" s="178"/>
      <c r="AEC12" s="178"/>
      <c r="AED12" s="178"/>
      <c r="AEE12" s="178"/>
      <c r="AEF12" s="178"/>
      <c r="AEG12" s="178"/>
      <c r="AEH12" s="178"/>
      <c r="AEI12" s="178"/>
      <c r="AEJ12" s="178"/>
      <c r="AEK12" s="178"/>
      <c r="AEL12" s="178"/>
      <c r="AEM12" s="178"/>
      <c r="AEN12" s="178"/>
      <c r="AEO12" s="178"/>
      <c r="AEP12" s="178"/>
      <c r="AEQ12" s="178"/>
      <c r="AER12" s="178"/>
      <c r="AES12" s="178"/>
      <c r="AET12" s="178"/>
      <c r="AEU12" s="178"/>
      <c r="AEV12" s="178"/>
      <c r="AEW12" s="178"/>
      <c r="AEX12" s="178"/>
      <c r="AEY12" s="178"/>
      <c r="AEZ12" s="178"/>
      <c r="AFA12" s="178"/>
      <c r="AFB12" s="178"/>
      <c r="AFC12" s="178"/>
      <c r="AFD12" s="178"/>
      <c r="AFE12" s="178"/>
      <c r="AFF12" s="178"/>
      <c r="AFG12" s="178"/>
      <c r="AFH12" s="178"/>
      <c r="AFI12" s="178"/>
      <c r="AFJ12" s="178"/>
      <c r="AFK12" s="178"/>
      <c r="AFL12" s="178"/>
      <c r="AFM12" s="178"/>
      <c r="AFN12" s="178"/>
      <c r="AFO12" s="178"/>
      <c r="AFP12" s="178"/>
      <c r="AFQ12" s="178"/>
      <c r="AFR12" s="178"/>
      <c r="AFS12" s="178"/>
      <c r="AFT12" s="178"/>
      <c r="AFU12" s="178"/>
      <c r="AFV12" s="178"/>
      <c r="AFW12" s="178"/>
      <c r="AFX12" s="178"/>
      <c r="AFY12" s="178"/>
      <c r="AFZ12" s="178"/>
      <c r="AGA12" s="178"/>
      <c r="AGB12" s="178"/>
      <c r="AGC12" s="178"/>
      <c r="AGD12" s="178"/>
      <c r="AGE12" s="178"/>
      <c r="AGF12" s="178"/>
      <c r="AGG12" s="178"/>
      <c r="AGH12" s="178"/>
      <c r="AGI12" s="178"/>
      <c r="AGJ12" s="178"/>
      <c r="AGK12" s="178"/>
      <c r="AGL12" s="178"/>
      <c r="AGM12" s="178"/>
      <c r="AGN12" s="178"/>
      <c r="AGO12" s="178"/>
      <c r="AGP12" s="178"/>
      <c r="AGQ12" s="178"/>
      <c r="AGR12" s="178"/>
      <c r="AGS12" s="178"/>
      <c r="AGT12" s="178"/>
      <c r="AGU12" s="178"/>
      <c r="AGV12" s="178"/>
      <c r="AGW12" s="178"/>
      <c r="AGX12" s="178"/>
      <c r="AGY12" s="178"/>
      <c r="AGZ12" s="178"/>
      <c r="AHA12" s="178"/>
      <c r="AHB12" s="178"/>
      <c r="AHC12" s="178"/>
      <c r="AHD12" s="178"/>
      <c r="AHE12" s="178"/>
      <c r="AHF12" s="178"/>
      <c r="AHG12" s="178"/>
      <c r="AHH12" s="178"/>
      <c r="AHI12" s="178"/>
      <c r="AHJ12" s="178"/>
      <c r="AHK12" s="178"/>
      <c r="AHL12" s="178"/>
      <c r="AHM12" s="178"/>
      <c r="AHN12" s="178"/>
      <c r="AHO12" s="178"/>
      <c r="AHP12" s="178"/>
      <c r="AHQ12" s="178"/>
      <c r="AHR12" s="178"/>
      <c r="AHS12" s="178"/>
      <c r="AHT12" s="178"/>
      <c r="AHU12" s="178"/>
      <c r="AHV12" s="178"/>
      <c r="AHW12" s="178"/>
      <c r="AHX12" s="178"/>
      <c r="AHY12" s="178"/>
      <c r="AHZ12" s="178"/>
      <c r="AIA12" s="178"/>
      <c r="AIB12" s="178"/>
      <c r="AIC12" s="178"/>
      <c r="AID12" s="178"/>
      <c r="AIE12" s="178"/>
      <c r="AIF12" s="178"/>
      <c r="AIG12" s="178"/>
      <c r="AIH12" s="178"/>
      <c r="AII12" s="178"/>
    </row>
    <row r="13" spans="1:919" ht="16.5">
      <c r="E13" s="1033" t="s">
        <v>2211</v>
      </c>
      <c r="F13" s="1033"/>
      <c r="G13" s="1033"/>
      <c r="H13" s="1033"/>
      <c r="I13" s="1033"/>
      <c r="J13" s="1033"/>
    </row>
    <row r="14" spans="1:919" ht="16.5">
      <c r="E14" s="1033" t="s">
        <v>2212</v>
      </c>
      <c r="F14" s="1033"/>
      <c r="G14" s="1033"/>
      <c r="H14" s="1033"/>
      <c r="I14" s="1033"/>
      <c r="J14" s="1033"/>
    </row>
    <row r="15" spans="1:919" ht="15.75">
      <c r="E15" s="1034" t="str">
        <f>IF(OR(OsnPodaci!A58="",OsnPodaci!B58=""),"Unijeti interval izvještavanja.","za period od "&amp;TEXT(OsnPodaci!A58,"dd.mm.yyyy.")&amp;" do "&amp;TEXT(OsnPodaci!B58,"dd.mm.yyyy.")&amp;" godine")</f>
        <v>za period od 01.01.2022. do 31.12.2022. godine</v>
      </c>
      <c r="F15" s="1034"/>
      <c r="G15" s="1034"/>
      <c r="H15" s="1034"/>
      <c r="I15" s="1034"/>
      <c r="J15" s="1034"/>
    </row>
    <row r="16" spans="1:919">
      <c r="E16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6" s="192"/>
      <c r="G16" s="192"/>
      <c r="H16" s="192"/>
      <c r="J16" s="532" t="s">
        <v>2084</v>
      </c>
    </row>
    <row r="17" spans="1:919" ht="36" customHeight="1">
      <c r="E17" s="418" t="s">
        <v>2085</v>
      </c>
      <c r="F17" s="422" t="s">
        <v>2050</v>
      </c>
      <c r="G17" s="422" t="s">
        <v>2086</v>
      </c>
      <c r="H17" s="431" t="s">
        <v>2087</v>
      </c>
      <c r="I17" s="431" t="str">
        <f>"Od "&amp;TEXT(OsnPodaci!A58,"dd.mm.")&amp;" do "&amp;TEXT(OsnPodaci!B58,"dd.mm.")&amp;" tekuće godine"</f>
        <v>Od 01.01. do 31.12. tekuće godine</v>
      </c>
      <c r="J17" s="533" t="str">
        <f>"Od "&amp;TEXT(OsnPodaci!A58,"dd.mm.")&amp;" do "&amp;TEXT(OsnPodaci!B58,"dd.mm.")&amp;" prethodne godine"</f>
        <v>Od 01.01. do 31.12. prethodne godine</v>
      </c>
    </row>
    <row r="18" spans="1:919" s="196" customFormat="1" ht="12.75" customHeight="1">
      <c r="A18" s="194"/>
      <c r="B18" s="194"/>
      <c r="C18" s="194"/>
      <c r="D18" s="194"/>
      <c r="E18" s="419">
        <v>1</v>
      </c>
      <c r="F18" s="423">
        <v>2</v>
      </c>
      <c r="G18" s="423">
        <v>3</v>
      </c>
      <c r="H18" s="432">
        <v>4</v>
      </c>
      <c r="I18" s="432">
        <v>5</v>
      </c>
      <c r="J18" s="432">
        <v>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</row>
    <row r="19" spans="1:919" ht="12.75" customHeight="1">
      <c r="E19" s="460"/>
      <c r="F19" s="424" t="s">
        <v>2213</v>
      </c>
      <c r="G19" s="425"/>
      <c r="H19" s="433"/>
      <c r="I19" s="435"/>
      <c r="J19" s="435"/>
    </row>
    <row r="20" spans="1:919" ht="12.75" customHeight="1">
      <c r="A20" s="188">
        <v>0.01</v>
      </c>
      <c r="B20" s="188">
        <v>0.67</v>
      </c>
      <c r="C20" s="188">
        <f>IF(LEN(I20)=0,"",1+ABS((I20*A20)/LEN(I20))+A20)</f>
        <v>8132.261428571429</v>
      </c>
      <c r="D20" s="188">
        <f>IF(LEN(J20)=0,"",1+ABS((J20*B20)/LEN(J20))+B20)</f>
        <v>619314.92571428581</v>
      </c>
      <c r="E20" s="534" t="s">
        <v>2142</v>
      </c>
      <c r="F20" s="535" t="s">
        <v>2214</v>
      </c>
      <c r="G20" s="425"/>
      <c r="H20" s="431">
        <v>201</v>
      </c>
      <c r="I20" s="536">
        <f>IFERROR(IF(AND(I21,I26,I25,I31,I35,I36)="","",SUM(I21,I26,I25,I31,I35,I36)),"")</f>
        <v>5691876</v>
      </c>
      <c r="J20" s="536">
        <f>IFERROR(IF(AND(J21,J26,J25,J31,J35,J36)="","",SUM(J21,J26,J25,J31,J35,J36)),"")</f>
        <v>6470437</v>
      </c>
    </row>
    <row r="21" spans="1:919" ht="12.75" customHeight="1">
      <c r="A21" s="188">
        <v>0.02</v>
      </c>
      <c r="B21" s="188">
        <v>0.68</v>
      </c>
      <c r="C21" s="188">
        <f t="shared" ref="C21:D36" si="0">IF(LEN(I21)=0,"",1+ABS((I21*A21)/LEN(I21))+A21)</f>
        <v>184.13600000000002</v>
      </c>
      <c r="D21" s="188">
        <f t="shared" si="0"/>
        <v>7402.9360000000015</v>
      </c>
      <c r="E21" s="460" t="s">
        <v>2091</v>
      </c>
      <c r="F21" s="461" t="s">
        <v>2215</v>
      </c>
      <c r="G21" s="425"/>
      <c r="H21" s="433">
        <v>202</v>
      </c>
      <c r="I21" s="435">
        <f>IFERROR(IF(AND(I22:I24)="","",SUM(I22:I24)),"")</f>
        <v>45779</v>
      </c>
      <c r="J21" s="435">
        <f>IFERROR(IF(AND(J22:J24)="","",SUM(J22:J24)),"")</f>
        <v>54421</v>
      </c>
    </row>
    <row r="22" spans="1:919" s="189" customFormat="1" ht="12.75" customHeight="1">
      <c r="A22" s="188">
        <v>0.03</v>
      </c>
      <c r="B22" s="188">
        <v>0.69</v>
      </c>
      <c r="C22" s="188">
        <f t="shared" si="0"/>
        <v>275.70399999999995</v>
      </c>
      <c r="D22" s="188">
        <f t="shared" si="0"/>
        <v>7511.7879999999996</v>
      </c>
      <c r="E22" s="460" t="s">
        <v>2170</v>
      </c>
      <c r="F22" s="462" t="s">
        <v>2216</v>
      </c>
      <c r="G22" s="425"/>
      <c r="H22" s="433">
        <v>203</v>
      </c>
      <c r="I22" s="436">
        <v>45779</v>
      </c>
      <c r="J22" s="436">
        <v>54421</v>
      </c>
    </row>
    <row r="23" spans="1:919" s="189" customFormat="1" ht="25.5">
      <c r="A23" s="188">
        <v>0.04</v>
      </c>
      <c r="B23" s="188">
        <v>0.7</v>
      </c>
      <c r="C23" s="188" t="str">
        <f t="shared" si="0"/>
        <v/>
      </c>
      <c r="D23" s="188" t="str">
        <f t="shared" si="0"/>
        <v/>
      </c>
      <c r="E23" s="460" t="s">
        <v>2172</v>
      </c>
      <c r="F23" s="462" t="s">
        <v>2217</v>
      </c>
      <c r="G23" s="425"/>
      <c r="H23" s="433">
        <v>204</v>
      </c>
      <c r="I23" s="436"/>
      <c r="J23" s="436"/>
    </row>
    <row r="24" spans="1:919" s="189" customFormat="1">
      <c r="A24" s="188">
        <v>0.05</v>
      </c>
      <c r="B24" s="188">
        <v>0.71</v>
      </c>
      <c r="C24" s="188" t="str">
        <f t="shared" si="0"/>
        <v/>
      </c>
      <c r="D24" s="188" t="str">
        <f t="shared" si="0"/>
        <v/>
      </c>
      <c r="E24" s="460" t="s">
        <v>2218</v>
      </c>
      <c r="F24" s="462" t="s">
        <v>2219</v>
      </c>
      <c r="G24" s="425"/>
      <c r="H24" s="433">
        <v>205</v>
      </c>
      <c r="I24" s="436"/>
      <c r="J24" s="436"/>
    </row>
    <row r="25" spans="1:919" s="189" customFormat="1" ht="12.75" customHeight="1">
      <c r="A25" s="188">
        <v>0.06</v>
      </c>
      <c r="B25" s="188">
        <v>0.72</v>
      </c>
      <c r="C25" s="188">
        <f t="shared" si="0"/>
        <v>7297.45</v>
      </c>
      <c r="D25" s="188">
        <f t="shared" si="0"/>
        <v>102576.4</v>
      </c>
      <c r="E25" s="460" t="s">
        <v>2093</v>
      </c>
      <c r="F25" s="462" t="s">
        <v>2220</v>
      </c>
      <c r="G25" s="425"/>
      <c r="H25" s="433">
        <v>206</v>
      </c>
      <c r="I25" s="436">
        <v>729639</v>
      </c>
      <c r="J25" s="436">
        <v>854789</v>
      </c>
    </row>
    <row r="26" spans="1:919" s="189" customFormat="1" ht="12.75" customHeight="1">
      <c r="A26" s="188">
        <v>7.0000000000000007E-2</v>
      </c>
      <c r="B26" s="188">
        <v>0.73</v>
      </c>
      <c r="C26" s="188">
        <f t="shared" si="0"/>
        <v>967.29400000000021</v>
      </c>
      <c r="D26" s="188">
        <f t="shared" si="0"/>
        <v>61637.698333333334</v>
      </c>
      <c r="E26" s="460" t="s">
        <v>2101</v>
      </c>
      <c r="F26" s="462" t="s">
        <v>2221</v>
      </c>
      <c r="G26" s="425"/>
      <c r="H26" s="433">
        <v>207</v>
      </c>
      <c r="I26" s="435">
        <f>IFERROR(IF(AND(I27:I30)="","",SUM(I27:I30)),"")</f>
        <v>69016</v>
      </c>
      <c r="J26" s="435">
        <f>IFERROR(IF(AND(J27:J30)="","",SUM(J27:J30)),"")</f>
        <v>506597</v>
      </c>
    </row>
    <row r="27" spans="1:919" s="189" customFormat="1" ht="12.75" customHeight="1">
      <c r="A27" s="188">
        <v>0.08</v>
      </c>
      <c r="B27" s="188">
        <v>0.74</v>
      </c>
      <c r="C27" s="188" t="str">
        <f t="shared" si="0"/>
        <v/>
      </c>
      <c r="D27" s="188" t="str">
        <f t="shared" si="0"/>
        <v/>
      </c>
      <c r="E27" s="460" t="s">
        <v>2104</v>
      </c>
      <c r="F27" s="462" t="s">
        <v>2222</v>
      </c>
      <c r="G27" s="425"/>
      <c r="H27" s="433">
        <v>208</v>
      </c>
      <c r="I27" s="436"/>
      <c r="J27" s="436"/>
    </row>
    <row r="28" spans="1:919" s="189" customFormat="1" ht="25.5">
      <c r="A28" s="188">
        <v>0.09</v>
      </c>
      <c r="B28" s="188">
        <v>0.75</v>
      </c>
      <c r="C28" s="188" t="str">
        <f t="shared" si="0"/>
        <v/>
      </c>
      <c r="D28" s="188" t="str">
        <f t="shared" si="0"/>
        <v/>
      </c>
      <c r="E28" s="460" t="s">
        <v>2106</v>
      </c>
      <c r="F28" s="462" t="s">
        <v>2223</v>
      </c>
      <c r="G28" s="425"/>
      <c r="H28" s="433">
        <v>209</v>
      </c>
      <c r="I28" s="436"/>
      <c r="J28" s="436"/>
    </row>
    <row r="29" spans="1:919" s="189" customFormat="1">
      <c r="A29" s="188">
        <v>0.1</v>
      </c>
      <c r="B29" s="188">
        <v>0.76</v>
      </c>
      <c r="C29" s="188">
        <f t="shared" si="0"/>
        <v>1381.42</v>
      </c>
      <c r="D29" s="188">
        <f t="shared" si="0"/>
        <v>64170.71333333334</v>
      </c>
      <c r="E29" s="460" t="s">
        <v>2224</v>
      </c>
      <c r="F29" s="462" t="s">
        <v>2225</v>
      </c>
      <c r="G29" s="425"/>
      <c r="H29" s="433">
        <v>210</v>
      </c>
      <c r="I29" s="436">
        <v>69016</v>
      </c>
      <c r="J29" s="436">
        <v>506597</v>
      </c>
    </row>
    <row r="30" spans="1:919" s="189" customFormat="1" ht="12.75" customHeight="1">
      <c r="A30" s="188">
        <v>0.11</v>
      </c>
      <c r="B30" s="188">
        <v>0.77</v>
      </c>
      <c r="C30" s="188" t="str">
        <f t="shared" si="0"/>
        <v/>
      </c>
      <c r="D30" s="188" t="str">
        <f t="shared" si="0"/>
        <v/>
      </c>
      <c r="E30" s="460" t="s">
        <v>2226</v>
      </c>
      <c r="F30" s="462" t="s">
        <v>2227</v>
      </c>
      <c r="G30" s="425"/>
      <c r="H30" s="433">
        <v>211</v>
      </c>
      <c r="I30" s="436"/>
      <c r="J30" s="436"/>
    </row>
    <row r="31" spans="1:919" s="189" customFormat="1" ht="12.75" customHeight="1">
      <c r="A31" s="188">
        <v>0.12</v>
      </c>
      <c r="B31" s="188">
        <v>0.78</v>
      </c>
      <c r="C31" s="188">
        <f t="shared" si="0"/>
        <v>72887.697142857141</v>
      </c>
      <c r="D31" s="188">
        <f t="shared" si="0"/>
        <v>558711.21142857149</v>
      </c>
      <c r="E31" s="460" t="s">
        <v>2108</v>
      </c>
      <c r="F31" s="462" t="s">
        <v>2228</v>
      </c>
      <c r="G31" s="425"/>
      <c r="H31" s="433">
        <v>212</v>
      </c>
      <c r="I31" s="435">
        <f>IFERROR(IF(AND(I32:I34)="","",SUM(I32:I34)),"")</f>
        <v>4251717</v>
      </c>
      <c r="J31" s="435">
        <f>IFERROR(IF(AND(J32:J34)="","",SUM(J32:J34)),"")</f>
        <v>5014059</v>
      </c>
    </row>
    <row r="32" spans="1:919" s="189" customFormat="1" ht="12.75" customHeight="1">
      <c r="A32" s="188">
        <v>0.13</v>
      </c>
      <c r="B32" s="188">
        <v>0.79</v>
      </c>
      <c r="C32" s="188">
        <f t="shared" si="0"/>
        <v>78961.588571428569</v>
      </c>
      <c r="D32" s="188">
        <f t="shared" si="0"/>
        <v>565874.16285714298</v>
      </c>
      <c r="E32" s="460" t="s">
        <v>2110</v>
      </c>
      <c r="F32" s="462" t="s">
        <v>2229</v>
      </c>
      <c r="G32" s="425"/>
      <c r="H32" s="433">
        <v>213</v>
      </c>
      <c r="I32" s="436">
        <v>4251717</v>
      </c>
      <c r="J32" s="436">
        <v>5014059</v>
      </c>
    </row>
    <row r="33" spans="1:919" s="189" customFormat="1" ht="12.75" customHeight="1">
      <c r="A33" s="188">
        <v>0.14000000000000001</v>
      </c>
      <c r="B33" s="188">
        <v>0.8</v>
      </c>
      <c r="C33" s="188" t="str">
        <f t="shared" si="0"/>
        <v/>
      </c>
      <c r="D33" s="188" t="str">
        <f t="shared" si="0"/>
        <v/>
      </c>
      <c r="E33" s="460" t="s">
        <v>2113</v>
      </c>
      <c r="F33" s="462" t="s">
        <v>2230</v>
      </c>
      <c r="G33" s="425"/>
      <c r="H33" s="433">
        <v>214</v>
      </c>
      <c r="I33" s="436"/>
      <c r="J33" s="436"/>
    </row>
    <row r="34" spans="1:919" s="189" customFormat="1" ht="12.75" customHeight="1">
      <c r="A34" s="188">
        <v>0.15</v>
      </c>
      <c r="B34" s="188">
        <v>0.81</v>
      </c>
      <c r="C34" s="188" t="str">
        <f t="shared" si="0"/>
        <v/>
      </c>
      <c r="D34" s="188" t="str">
        <f t="shared" si="0"/>
        <v/>
      </c>
      <c r="E34" s="460" t="s">
        <v>2116</v>
      </c>
      <c r="F34" s="462" t="s">
        <v>2231</v>
      </c>
      <c r="G34" s="425"/>
      <c r="H34" s="433">
        <v>215</v>
      </c>
      <c r="I34" s="436"/>
      <c r="J34" s="436"/>
    </row>
    <row r="35" spans="1:919" s="189" customFormat="1" ht="12.75" customHeight="1">
      <c r="A35" s="188">
        <v>0.16</v>
      </c>
      <c r="B35" s="188">
        <v>0.82</v>
      </c>
      <c r="C35" s="188" t="str">
        <f t="shared" si="0"/>
        <v/>
      </c>
      <c r="D35" s="188" t="str">
        <f t="shared" si="0"/>
        <v/>
      </c>
      <c r="E35" s="460" t="s">
        <v>2122</v>
      </c>
      <c r="F35" s="462" t="s">
        <v>2232</v>
      </c>
      <c r="G35" s="425"/>
      <c r="H35" s="433">
        <v>216</v>
      </c>
      <c r="I35" s="436"/>
      <c r="J35" s="436"/>
    </row>
    <row r="36" spans="1:919" s="189" customFormat="1" ht="12.75" customHeight="1">
      <c r="A36" s="188">
        <v>0.17</v>
      </c>
      <c r="B36" s="188">
        <v>0.83</v>
      </c>
      <c r="C36" s="188">
        <f t="shared" si="0"/>
        <v>16880.044999999998</v>
      </c>
      <c r="D36" s="188">
        <f t="shared" si="0"/>
        <v>6736.616</v>
      </c>
      <c r="E36" s="460" t="s">
        <v>2125</v>
      </c>
      <c r="F36" s="462" t="s">
        <v>2233</v>
      </c>
      <c r="G36" s="425"/>
      <c r="H36" s="433">
        <v>217</v>
      </c>
      <c r="I36" s="436">
        <v>595725</v>
      </c>
      <c r="J36" s="436">
        <v>40571</v>
      </c>
    </row>
    <row r="37" spans="1:919" ht="0.75" customHeight="1">
      <c r="E37" s="189"/>
      <c r="F37" s="189"/>
      <c r="G37" s="189"/>
      <c r="H37" s="189"/>
      <c r="I37" s="189"/>
    </row>
    <row r="38" spans="1:919" ht="22.5">
      <c r="A38" s="197"/>
      <c r="B38" s="197"/>
      <c r="C38" s="197"/>
      <c r="D38" s="197"/>
      <c r="E38" s="190"/>
      <c r="F38" s="197"/>
      <c r="G38" s="190"/>
      <c r="H38" s="189"/>
      <c r="I38" s="189"/>
      <c r="J38" s="111" t="str">
        <f>"*"&amp;'#Konverter'!AD3&amp;C96&amp;D96&amp;"*"</f>
        <v>*1189520239*</v>
      </c>
    </row>
    <row r="39" spans="1:919" s="196" customFormat="1" ht="12.75">
      <c r="A39" s="390"/>
      <c r="B39" s="390"/>
      <c r="C39" s="390"/>
      <c r="D39" s="390"/>
      <c r="E39" s="464" t="str">
        <f>IF(C96&amp;D96="","Obrazac prazan - unesite cifru na barem jednu poziciju.","Kontrolni broj: "&amp;MID(J38,2,LEN(J38)-2))</f>
        <v>Kontrolni broj: 1189520239</v>
      </c>
      <c r="F39" s="390"/>
      <c r="G39" s="463"/>
      <c r="H39" s="195"/>
      <c r="I39" s="195"/>
      <c r="J39" s="393" t="s">
        <v>2136</v>
      </c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  <c r="RG39" s="195"/>
      <c r="RH39" s="195"/>
      <c r="RI39" s="195"/>
      <c r="RJ39" s="195"/>
      <c r="RK39" s="195"/>
      <c r="RL39" s="195"/>
      <c r="RM39" s="195"/>
      <c r="RN39" s="195"/>
      <c r="RO39" s="195"/>
      <c r="RP39" s="195"/>
      <c r="RQ39" s="195"/>
      <c r="RR39" s="195"/>
      <c r="RS39" s="195"/>
      <c r="RT39" s="195"/>
      <c r="RU39" s="195"/>
      <c r="RV39" s="195"/>
      <c r="RW39" s="195"/>
      <c r="RX39" s="195"/>
      <c r="RY39" s="195"/>
      <c r="RZ39" s="195"/>
      <c r="SA39" s="195"/>
      <c r="SB39" s="195"/>
      <c r="SC39" s="195"/>
      <c r="SD39" s="195"/>
      <c r="SE39" s="195"/>
      <c r="SF39" s="195"/>
      <c r="SG39" s="195"/>
      <c r="SH39" s="195"/>
      <c r="SI39" s="195"/>
      <c r="SJ39" s="195"/>
      <c r="SK39" s="195"/>
      <c r="SL39" s="195"/>
      <c r="SM39" s="195"/>
      <c r="SN39" s="195"/>
      <c r="SO39" s="195"/>
      <c r="SP39" s="195"/>
      <c r="SQ39" s="195"/>
      <c r="SR39" s="195"/>
      <c r="SS39" s="195"/>
      <c r="ST39" s="195"/>
      <c r="SU39" s="195"/>
      <c r="SV39" s="195"/>
      <c r="SW39" s="195"/>
      <c r="SX39" s="195"/>
      <c r="SY39" s="195"/>
      <c r="SZ39" s="195"/>
      <c r="TA39" s="195"/>
      <c r="TB39" s="195"/>
      <c r="TC39" s="195"/>
      <c r="TD39" s="195"/>
      <c r="TE39" s="195"/>
      <c r="TF39" s="195"/>
      <c r="TG39" s="195"/>
      <c r="TH39" s="195"/>
      <c r="TI39" s="195"/>
      <c r="TJ39" s="195"/>
      <c r="TK39" s="195"/>
      <c r="TL39" s="195"/>
      <c r="TM39" s="195"/>
      <c r="TN39" s="195"/>
      <c r="TO39" s="195"/>
      <c r="TP39" s="195"/>
      <c r="TQ39" s="195"/>
      <c r="TR39" s="195"/>
      <c r="TS39" s="195"/>
      <c r="TT39" s="195"/>
      <c r="TU39" s="195"/>
      <c r="TV39" s="195"/>
      <c r="TW39" s="195"/>
      <c r="TX39" s="195"/>
      <c r="TY39" s="195"/>
      <c r="TZ39" s="195"/>
      <c r="UA39" s="195"/>
      <c r="UB39" s="195"/>
      <c r="UC39" s="195"/>
      <c r="UD39" s="195"/>
      <c r="UE39" s="195"/>
      <c r="UF39" s="195"/>
      <c r="UG39" s="195"/>
      <c r="UH39" s="195"/>
      <c r="UI39" s="195"/>
      <c r="UJ39" s="195"/>
      <c r="UK39" s="195"/>
      <c r="UL39" s="195"/>
      <c r="UM39" s="195"/>
      <c r="UN39" s="195"/>
      <c r="UO39" s="195"/>
      <c r="UP39" s="195"/>
      <c r="UQ39" s="195"/>
      <c r="UR39" s="195"/>
      <c r="US39" s="195"/>
      <c r="UT39" s="195"/>
      <c r="UU39" s="195"/>
      <c r="UV39" s="195"/>
      <c r="UW39" s="195"/>
      <c r="UX39" s="195"/>
      <c r="UY39" s="195"/>
      <c r="UZ39" s="195"/>
      <c r="VA39" s="195"/>
      <c r="VB39" s="195"/>
      <c r="VC39" s="195"/>
      <c r="VD39" s="195"/>
      <c r="VE39" s="195"/>
      <c r="VF39" s="195"/>
      <c r="VG39" s="195"/>
      <c r="VH39" s="195"/>
      <c r="VI39" s="195"/>
      <c r="VJ39" s="195"/>
      <c r="VK39" s="195"/>
      <c r="VL39" s="195"/>
      <c r="VM39" s="195"/>
      <c r="VN39" s="195"/>
      <c r="VO39" s="195"/>
      <c r="VP39" s="195"/>
      <c r="VQ39" s="195"/>
      <c r="VR39" s="195"/>
      <c r="VS39" s="195"/>
      <c r="VT39" s="195"/>
      <c r="VU39" s="195"/>
      <c r="VV39" s="195"/>
      <c r="VW39" s="195"/>
      <c r="VX39" s="195"/>
      <c r="VY39" s="195"/>
      <c r="VZ39" s="195"/>
      <c r="WA39" s="195"/>
      <c r="WB39" s="195"/>
      <c r="WC39" s="195"/>
      <c r="WD39" s="195"/>
      <c r="WE39" s="195"/>
      <c r="WF39" s="195"/>
      <c r="WG39" s="195"/>
      <c r="WH39" s="195"/>
      <c r="WI39" s="195"/>
      <c r="WJ39" s="195"/>
      <c r="WK39" s="195"/>
      <c r="WL39" s="195"/>
      <c r="WM39" s="195"/>
      <c r="WN39" s="195"/>
      <c r="WO39" s="195"/>
      <c r="WP39" s="195"/>
      <c r="WQ39" s="195"/>
      <c r="WR39" s="195"/>
      <c r="WS39" s="195"/>
      <c r="WT39" s="195"/>
      <c r="WU39" s="195"/>
      <c r="WV39" s="195"/>
      <c r="WW39" s="195"/>
      <c r="WX39" s="195"/>
      <c r="WY39" s="195"/>
      <c r="WZ39" s="195"/>
      <c r="XA39" s="195"/>
      <c r="XB39" s="195"/>
      <c r="XC39" s="195"/>
      <c r="XD39" s="195"/>
      <c r="XE39" s="195"/>
      <c r="XF39" s="195"/>
      <c r="XG39" s="195"/>
      <c r="XH39" s="195"/>
      <c r="XI39" s="195"/>
      <c r="XJ39" s="195"/>
      <c r="XK39" s="195"/>
      <c r="XL39" s="195"/>
      <c r="XM39" s="195"/>
      <c r="XN39" s="195"/>
      <c r="XO39" s="195"/>
      <c r="XP39" s="195"/>
      <c r="XQ39" s="195"/>
      <c r="XR39" s="195"/>
      <c r="XS39" s="195"/>
      <c r="XT39" s="195"/>
      <c r="XU39" s="195"/>
      <c r="XV39" s="195"/>
      <c r="XW39" s="195"/>
      <c r="XX39" s="195"/>
      <c r="XY39" s="195"/>
      <c r="XZ39" s="195"/>
      <c r="YA39" s="195"/>
      <c r="YB39" s="195"/>
      <c r="YC39" s="195"/>
      <c r="YD39" s="195"/>
      <c r="YE39" s="195"/>
      <c r="YF39" s="195"/>
      <c r="YG39" s="195"/>
      <c r="YH39" s="195"/>
      <c r="YI39" s="195"/>
      <c r="YJ39" s="195"/>
      <c r="YK39" s="195"/>
      <c r="YL39" s="195"/>
      <c r="YM39" s="195"/>
      <c r="YN39" s="195"/>
      <c r="YO39" s="195"/>
      <c r="YP39" s="195"/>
      <c r="YQ39" s="195"/>
      <c r="YR39" s="195"/>
      <c r="YS39" s="195"/>
      <c r="YT39" s="195"/>
      <c r="YU39" s="195"/>
      <c r="YV39" s="195"/>
      <c r="YW39" s="195"/>
      <c r="YX39" s="195"/>
      <c r="YY39" s="195"/>
      <c r="YZ39" s="195"/>
      <c r="ZA39" s="195"/>
      <c r="ZB39" s="195"/>
      <c r="ZC39" s="195"/>
      <c r="ZD39" s="195"/>
      <c r="ZE39" s="195"/>
      <c r="ZF39" s="195"/>
      <c r="ZG39" s="195"/>
      <c r="ZH39" s="195"/>
      <c r="ZI39" s="195"/>
      <c r="ZJ39" s="195"/>
      <c r="ZK39" s="195"/>
      <c r="ZL39" s="195"/>
      <c r="ZM39" s="195"/>
      <c r="ZN39" s="195"/>
      <c r="ZO39" s="195"/>
      <c r="ZP39" s="195"/>
      <c r="ZQ39" s="195"/>
      <c r="ZR39" s="195"/>
      <c r="ZS39" s="195"/>
      <c r="ZT39" s="195"/>
      <c r="ZU39" s="195"/>
      <c r="ZV39" s="195"/>
      <c r="ZW39" s="195"/>
      <c r="ZX39" s="195"/>
      <c r="ZY39" s="195"/>
      <c r="ZZ39" s="195"/>
      <c r="AAA39" s="195"/>
      <c r="AAB39" s="195"/>
      <c r="AAC39" s="195"/>
      <c r="AAD39" s="195"/>
      <c r="AAE39" s="195"/>
      <c r="AAF39" s="195"/>
      <c r="AAG39" s="195"/>
      <c r="AAH39" s="195"/>
      <c r="AAI39" s="195"/>
      <c r="AAJ39" s="195"/>
      <c r="AAK39" s="195"/>
      <c r="AAL39" s="195"/>
      <c r="AAM39" s="195"/>
      <c r="AAN39" s="195"/>
      <c r="AAO39" s="195"/>
      <c r="AAP39" s="195"/>
      <c r="AAQ39" s="195"/>
      <c r="AAR39" s="195"/>
      <c r="AAS39" s="195"/>
      <c r="AAT39" s="195"/>
      <c r="AAU39" s="195"/>
      <c r="AAV39" s="195"/>
      <c r="AAW39" s="195"/>
      <c r="AAX39" s="195"/>
      <c r="AAY39" s="195"/>
      <c r="AAZ39" s="195"/>
      <c r="ABA39" s="195"/>
      <c r="ABB39" s="195"/>
      <c r="ABC39" s="195"/>
      <c r="ABD39" s="195"/>
      <c r="ABE39" s="195"/>
      <c r="ABF39" s="195"/>
      <c r="ABG39" s="195"/>
      <c r="ABH39" s="195"/>
      <c r="ABI39" s="195"/>
      <c r="ABJ39" s="195"/>
      <c r="ABK39" s="195"/>
      <c r="ABL39" s="195"/>
      <c r="ABM39" s="195"/>
      <c r="ABN39" s="195"/>
      <c r="ABO39" s="195"/>
      <c r="ABP39" s="195"/>
      <c r="ABQ39" s="195"/>
      <c r="ABR39" s="195"/>
      <c r="ABS39" s="195"/>
      <c r="ABT39" s="195"/>
      <c r="ABU39" s="195"/>
      <c r="ABV39" s="195"/>
      <c r="ABW39" s="195"/>
      <c r="ABX39" s="195"/>
      <c r="ABY39" s="195"/>
      <c r="ABZ39" s="195"/>
      <c r="ACA39" s="195"/>
      <c r="ACB39" s="195"/>
      <c r="ACC39" s="195"/>
      <c r="ACD39" s="195"/>
      <c r="ACE39" s="195"/>
      <c r="ACF39" s="195"/>
      <c r="ACG39" s="195"/>
      <c r="ACH39" s="195"/>
      <c r="ACI39" s="195"/>
      <c r="ACJ39" s="195"/>
      <c r="ACK39" s="195"/>
      <c r="ACL39" s="195"/>
      <c r="ACM39" s="195"/>
      <c r="ACN39" s="195"/>
      <c r="ACO39" s="195"/>
      <c r="ACP39" s="195"/>
      <c r="ACQ39" s="195"/>
      <c r="ACR39" s="195"/>
      <c r="ACS39" s="195"/>
      <c r="ACT39" s="195"/>
      <c r="ACU39" s="195"/>
      <c r="ACV39" s="195"/>
      <c r="ACW39" s="195"/>
      <c r="ACX39" s="195"/>
      <c r="ACY39" s="195"/>
      <c r="ACZ39" s="195"/>
      <c r="ADA39" s="195"/>
      <c r="ADB39" s="195"/>
      <c r="ADC39" s="195"/>
      <c r="ADD39" s="195"/>
      <c r="ADE39" s="195"/>
      <c r="ADF39" s="195"/>
      <c r="ADG39" s="195"/>
      <c r="ADH39" s="195"/>
      <c r="ADI39" s="195"/>
      <c r="ADJ39" s="195"/>
      <c r="ADK39" s="195"/>
      <c r="ADL39" s="195"/>
      <c r="ADM39" s="195"/>
      <c r="ADN39" s="195"/>
      <c r="ADO39" s="195"/>
      <c r="ADP39" s="195"/>
      <c r="ADQ39" s="195"/>
      <c r="ADR39" s="195"/>
      <c r="ADS39" s="195"/>
      <c r="ADT39" s="195"/>
      <c r="ADU39" s="195"/>
      <c r="ADV39" s="195"/>
      <c r="ADW39" s="195"/>
      <c r="ADX39" s="195"/>
      <c r="ADY39" s="195"/>
      <c r="ADZ39" s="195"/>
      <c r="AEA39" s="195"/>
      <c r="AEB39" s="195"/>
      <c r="AEC39" s="195"/>
      <c r="AED39" s="195"/>
      <c r="AEE39" s="195"/>
      <c r="AEF39" s="195"/>
      <c r="AEG39" s="195"/>
      <c r="AEH39" s="195"/>
      <c r="AEI39" s="195"/>
      <c r="AEJ39" s="195"/>
      <c r="AEK39" s="195"/>
      <c r="AEL39" s="195"/>
      <c r="AEM39" s="195"/>
      <c r="AEN39" s="195"/>
      <c r="AEO39" s="195"/>
      <c r="AEP39" s="195"/>
      <c r="AEQ39" s="195"/>
      <c r="AER39" s="195"/>
      <c r="AES39" s="195"/>
      <c r="AET39" s="195"/>
      <c r="AEU39" s="195"/>
      <c r="AEV39" s="195"/>
      <c r="AEW39" s="195"/>
      <c r="AEX39" s="195"/>
      <c r="AEY39" s="195"/>
      <c r="AEZ39" s="195"/>
      <c r="AFA39" s="195"/>
      <c r="AFB39" s="195"/>
      <c r="AFC39" s="195"/>
      <c r="AFD39" s="195"/>
      <c r="AFE39" s="195"/>
      <c r="AFF39" s="195"/>
      <c r="AFG39" s="195"/>
      <c r="AFH39" s="195"/>
      <c r="AFI39" s="195"/>
      <c r="AFJ39" s="195"/>
      <c r="AFK39" s="195"/>
      <c r="AFL39" s="195"/>
      <c r="AFM39" s="195"/>
      <c r="AFN39" s="195"/>
      <c r="AFO39" s="195"/>
      <c r="AFP39" s="195"/>
      <c r="AFQ39" s="195"/>
      <c r="AFR39" s="195"/>
      <c r="AFS39" s="195"/>
      <c r="AFT39" s="195"/>
      <c r="AFU39" s="195"/>
      <c r="AFV39" s="195"/>
      <c r="AFW39" s="195"/>
      <c r="AFX39" s="195"/>
      <c r="AFY39" s="195"/>
      <c r="AFZ39" s="195"/>
      <c r="AGA39" s="195"/>
      <c r="AGB39" s="195"/>
      <c r="AGC39" s="195"/>
      <c r="AGD39" s="195"/>
      <c r="AGE39" s="195"/>
      <c r="AGF39" s="195"/>
      <c r="AGG39" s="195"/>
      <c r="AGH39" s="195"/>
      <c r="AGI39" s="195"/>
      <c r="AGJ39" s="195"/>
      <c r="AGK39" s="195"/>
      <c r="AGL39" s="195"/>
      <c r="AGM39" s="195"/>
      <c r="AGN39" s="195"/>
      <c r="AGO39" s="195"/>
      <c r="AGP39" s="195"/>
      <c r="AGQ39" s="195"/>
      <c r="AGR39" s="195"/>
      <c r="AGS39" s="195"/>
      <c r="AGT39" s="195"/>
      <c r="AGU39" s="195"/>
      <c r="AGV39" s="195"/>
      <c r="AGW39" s="195"/>
      <c r="AGX39" s="195"/>
      <c r="AGY39" s="195"/>
      <c r="AGZ39" s="195"/>
      <c r="AHA39" s="195"/>
      <c r="AHB39" s="195"/>
      <c r="AHC39" s="195"/>
      <c r="AHD39" s="195"/>
      <c r="AHE39" s="195"/>
      <c r="AHF39" s="195"/>
      <c r="AHG39" s="195"/>
      <c r="AHH39" s="195"/>
      <c r="AHI39" s="195"/>
      <c r="AHJ39" s="195"/>
      <c r="AHK39" s="195"/>
      <c r="AHL39" s="195"/>
      <c r="AHM39" s="195"/>
      <c r="AHN39" s="195"/>
      <c r="AHO39" s="195"/>
      <c r="AHP39" s="195"/>
      <c r="AHQ39" s="195"/>
      <c r="AHR39" s="195"/>
      <c r="AHS39" s="195"/>
      <c r="AHT39" s="195"/>
      <c r="AHU39" s="195"/>
      <c r="AHV39" s="195"/>
      <c r="AHW39" s="195"/>
      <c r="AHX39" s="195"/>
      <c r="AHY39" s="195"/>
      <c r="AHZ39" s="195"/>
      <c r="AIA39" s="195"/>
      <c r="AIB39" s="195"/>
      <c r="AIC39" s="195"/>
      <c r="AID39" s="195"/>
      <c r="AIE39" s="195"/>
      <c r="AIF39" s="195"/>
      <c r="AIG39" s="195"/>
      <c r="AIH39" s="195"/>
      <c r="AII39" s="195"/>
    </row>
    <row r="40" spans="1:919" ht="36" customHeight="1">
      <c r="E40" s="412" t="s">
        <v>2085</v>
      </c>
      <c r="F40" s="422" t="s">
        <v>2050</v>
      </c>
      <c r="G40" s="514" t="s">
        <v>2086</v>
      </c>
      <c r="H40" s="431" t="s">
        <v>2087</v>
      </c>
      <c r="I40" s="431" t="str">
        <f>"Od "&amp;TEXT(OsnPodaci!A58,"dd.mm.")&amp;" do "&amp;TEXT(OsnPodaci!B58,"dd.mm.")&amp;" tekuće godine"</f>
        <v>Od 01.01. do 31.12. tekuće godine</v>
      </c>
      <c r="J40" s="465" t="str">
        <f>"Od "&amp;TEXT(OsnPodaci!A58,"dd.mm.")&amp;" do "&amp;TEXT(OsnPodaci!B58,"dd.mm.")&amp;" prethodne godine"</f>
        <v>Od 01.01. do 31.12. prethodne godine</v>
      </c>
    </row>
    <row r="41" spans="1:919" s="196" customFormat="1" ht="12.75" customHeight="1">
      <c r="A41" s="194"/>
      <c r="B41" s="194"/>
      <c r="C41" s="194"/>
      <c r="D41" s="194"/>
      <c r="E41" s="413">
        <v>1</v>
      </c>
      <c r="F41" s="423">
        <v>2</v>
      </c>
      <c r="G41" s="523">
        <v>3</v>
      </c>
      <c r="H41" s="432">
        <v>4</v>
      </c>
      <c r="I41" s="432">
        <v>5</v>
      </c>
      <c r="J41" s="414">
        <v>6</v>
      </c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  <c r="IV41" s="195"/>
      <c r="IW41" s="195"/>
      <c r="IX41" s="195"/>
      <c r="IY41" s="195"/>
      <c r="IZ41" s="195"/>
      <c r="JA41" s="195"/>
      <c r="JB41" s="195"/>
      <c r="JC41" s="195"/>
      <c r="JD41" s="195"/>
      <c r="JE41" s="195"/>
      <c r="JF41" s="195"/>
      <c r="JG41" s="195"/>
      <c r="JH41" s="195"/>
      <c r="JI41" s="195"/>
      <c r="JJ41" s="195"/>
      <c r="JK41" s="195"/>
      <c r="JL41" s="195"/>
      <c r="JM41" s="195"/>
      <c r="JN41" s="195"/>
      <c r="JO41" s="195"/>
      <c r="JP41" s="195"/>
      <c r="JQ41" s="195"/>
      <c r="JR41" s="195"/>
      <c r="JS41" s="195"/>
      <c r="JT41" s="195"/>
      <c r="JU41" s="195"/>
      <c r="JV41" s="195"/>
      <c r="JW41" s="195"/>
      <c r="JX41" s="195"/>
      <c r="JY41" s="195"/>
      <c r="JZ41" s="195"/>
      <c r="KA41" s="195"/>
      <c r="KB41" s="195"/>
      <c r="KC41" s="195"/>
      <c r="KD41" s="195"/>
      <c r="KE41" s="195"/>
      <c r="KF41" s="195"/>
      <c r="KG41" s="195"/>
      <c r="KH41" s="195"/>
      <c r="KI41" s="195"/>
      <c r="KJ41" s="195"/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95"/>
      <c r="LA41" s="195"/>
      <c r="LB41" s="195"/>
      <c r="LC41" s="195"/>
      <c r="LD41" s="195"/>
      <c r="LE41" s="195"/>
      <c r="LF41" s="195"/>
      <c r="LG41" s="195"/>
      <c r="LH41" s="195"/>
      <c r="LI41" s="195"/>
      <c r="LJ41" s="195"/>
      <c r="LK41" s="195"/>
      <c r="LL41" s="195"/>
      <c r="LM41" s="195"/>
      <c r="LN41" s="195"/>
      <c r="LO41" s="195"/>
      <c r="LP41" s="195"/>
      <c r="LQ41" s="195"/>
      <c r="LR41" s="195"/>
      <c r="LS41" s="195"/>
      <c r="LT41" s="195"/>
      <c r="LU41" s="195"/>
      <c r="LV41" s="195"/>
      <c r="LW41" s="195"/>
      <c r="LX41" s="195"/>
      <c r="LY41" s="195"/>
      <c r="LZ41" s="195"/>
      <c r="MA41" s="195"/>
      <c r="MB41" s="195"/>
      <c r="MC41" s="195"/>
      <c r="MD41" s="195"/>
      <c r="ME41" s="195"/>
      <c r="MF41" s="195"/>
      <c r="MG41" s="195"/>
      <c r="MH41" s="195"/>
      <c r="MI41" s="195"/>
      <c r="MJ41" s="195"/>
      <c r="MK41" s="195"/>
      <c r="ML41" s="195"/>
      <c r="MM41" s="195"/>
      <c r="MN41" s="195"/>
      <c r="MO41" s="195"/>
      <c r="MP41" s="195"/>
      <c r="MQ41" s="195"/>
      <c r="MR41" s="195"/>
      <c r="MS41" s="195"/>
      <c r="MT41" s="195"/>
      <c r="MU41" s="195"/>
      <c r="MV41" s="195"/>
      <c r="MW41" s="195"/>
      <c r="MX41" s="195"/>
      <c r="MY41" s="195"/>
      <c r="MZ41" s="195"/>
      <c r="NA41" s="195"/>
      <c r="NB41" s="195"/>
      <c r="NC41" s="195"/>
      <c r="ND41" s="195"/>
      <c r="NE41" s="195"/>
      <c r="NF41" s="195"/>
      <c r="NG41" s="195"/>
      <c r="NH41" s="195"/>
      <c r="NI41" s="195"/>
      <c r="NJ41" s="195"/>
      <c r="NK41" s="195"/>
      <c r="NL41" s="195"/>
      <c r="NM41" s="195"/>
      <c r="NN41" s="195"/>
      <c r="NO41" s="195"/>
      <c r="NP41" s="195"/>
      <c r="NQ41" s="195"/>
      <c r="NR41" s="195"/>
      <c r="NS41" s="195"/>
      <c r="NT41" s="195"/>
      <c r="NU41" s="195"/>
      <c r="NV41" s="195"/>
      <c r="NW41" s="195"/>
      <c r="NX41" s="195"/>
      <c r="NY41" s="195"/>
      <c r="NZ41" s="195"/>
      <c r="OA41" s="195"/>
      <c r="OB41" s="195"/>
      <c r="OC41" s="195"/>
      <c r="OD41" s="195"/>
      <c r="OE41" s="195"/>
      <c r="OF41" s="195"/>
      <c r="OG41" s="195"/>
      <c r="OH41" s="195"/>
      <c r="OI41" s="195"/>
      <c r="OJ41" s="195"/>
      <c r="OK41" s="195"/>
      <c r="OL41" s="195"/>
      <c r="OM41" s="195"/>
      <c r="ON41" s="195"/>
      <c r="OO41" s="195"/>
      <c r="OP41" s="195"/>
      <c r="OQ41" s="195"/>
      <c r="OR41" s="195"/>
      <c r="OS41" s="195"/>
      <c r="OT41" s="195"/>
      <c r="OU41" s="195"/>
      <c r="OV41" s="195"/>
      <c r="OW41" s="195"/>
      <c r="OX41" s="195"/>
      <c r="OY41" s="195"/>
      <c r="OZ41" s="195"/>
      <c r="PA41" s="195"/>
      <c r="PB41" s="195"/>
      <c r="PC41" s="195"/>
      <c r="PD41" s="195"/>
      <c r="PE41" s="195"/>
      <c r="PF41" s="195"/>
      <c r="PG41" s="195"/>
      <c r="PH41" s="195"/>
      <c r="PI41" s="195"/>
      <c r="PJ41" s="195"/>
      <c r="PK41" s="195"/>
      <c r="PL41" s="195"/>
      <c r="PM41" s="195"/>
      <c r="PN41" s="195"/>
      <c r="PO41" s="195"/>
      <c r="PP41" s="195"/>
      <c r="PQ41" s="195"/>
      <c r="PR41" s="195"/>
      <c r="PS41" s="195"/>
      <c r="PT41" s="195"/>
      <c r="PU41" s="195"/>
      <c r="PV41" s="195"/>
      <c r="PW41" s="195"/>
      <c r="PX41" s="195"/>
      <c r="PY41" s="195"/>
      <c r="PZ41" s="195"/>
      <c r="QA41" s="195"/>
      <c r="QB41" s="195"/>
      <c r="QC41" s="195"/>
      <c r="QD41" s="195"/>
      <c r="QE41" s="195"/>
      <c r="QF41" s="195"/>
      <c r="QG41" s="195"/>
      <c r="QH41" s="195"/>
      <c r="QI41" s="195"/>
      <c r="QJ41" s="195"/>
      <c r="QK41" s="195"/>
      <c r="QL41" s="195"/>
      <c r="QM41" s="195"/>
      <c r="QN41" s="195"/>
      <c r="QO41" s="195"/>
      <c r="QP41" s="195"/>
      <c r="QQ41" s="195"/>
      <c r="QR41" s="195"/>
      <c r="QS41" s="195"/>
      <c r="QT41" s="195"/>
      <c r="QU41" s="195"/>
      <c r="QV41" s="195"/>
      <c r="QW41" s="195"/>
      <c r="QX41" s="195"/>
      <c r="QY41" s="195"/>
      <c r="QZ41" s="195"/>
      <c r="RA41" s="195"/>
      <c r="RB41" s="195"/>
      <c r="RC41" s="195"/>
      <c r="RD41" s="195"/>
      <c r="RE41" s="195"/>
      <c r="RF41" s="195"/>
      <c r="RG41" s="195"/>
      <c r="RH41" s="195"/>
      <c r="RI41" s="195"/>
      <c r="RJ41" s="195"/>
      <c r="RK41" s="195"/>
      <c r="RL41" s="195"/>
      <c r="RM41" s="195"/>
      <c r="RN41" s="195"/>
      <c r="RO41" s="195"/>
      <c r="RP41" s="195"/>
      <c r="RQ41" s="195"/>
      <c r="RR41" s="195"/>
      <c r="RS41" s="195"/>
      <c r="RT41" s="195"/>
      <c r="RU41" s="195"/>
      <c r="RV41" s="195"/>
      <c r="RW41" s="195"/>
      <c r="RX41" s="195"/>
      <c r="RY41" s="195"/>
      <c r="RZ41" s="195"/>
      <c r="SA41" s="195"/>
      <c r="SB41" s="195"/>
      <c r="SC41" s="195"/>
      <c r="SD41" s="195"/>
      <c r="SE41" s="195"/>
      <c r="SF41" s="195"/>
      <c r="SG41" s="195"/>
      <c r="SH41" s="195"/>
      <c r="SI41" s="195"/>
      <c r="SJ41" s="195"/>
      <c r="SK41" s="195"/>
      <c r="SL41" s="195"/>
      <c r="SM41" s="195"/>
      <c r="SN41" s="195"/>
      <c r="SO41" s="195"/>
      <c r="SP41" s="195"/>
      <c r="SQ41" s="195"/>
      <c r="SR41" s="195"/>
      <c r="SS41" s="195"/>
      <c r="ST41" s="195"/>
      <c r="SU41" s="195"/>
      <c r="SV41" s="195"/>
      <c r="SW41" s="195"/>
      <c r="SX41" s="195"/>
      <c r="SY41" s="195"/>
      <c r="SZ41" s="195"/>
      <c r="TA41" s="195"/>
      <c r="TB41" s="195"/>
      <c r="TC41" s="195"/>
      <c r="TD41" s="195"/>
      <c r="TE41" s="195"/>
      <c r="TF41" s="195"/>
      <c r="TG41" s="195"/>
      <c r="TH41" s="195"/>
      <c r="TI41" s="195"/>
      <c r="TJ41" s="195"/>
      <c r="TK41" s="195"/>
      <c r="TL41" s="195"/>
      <c r="TM41" s="195"/>
      <c r="TN41" s="195"/>
      <c r="TO41" s="195"/>
      <c r="TP41" s="195"/>
      <c r="TQ41" s="195"/>
      <c r="TR41" s="195"/>
      <c r="TS41" s="195"/>
      <c r="TT41" s="195"/>
      <c r="TU41" s="195"/>
      <c r="TV41" s="195"/>
      <c r="TW41" s="195"/>
      <c r="TX41" s="195"/>
      <c r="TY41" s="195"/>
      <c r="TZ41" s="195"/>
      <c r="UA41" s="195"/>
      <c r="UB41" s="195"/>
      <c r="UC41" s="195"/>
      <c r="UD41" s="195"/>
      <c r="UE41" s="195"/>
      <c r="UF41" s="195"/>
      <c r="UG41" s="195"/>
      <c r="UH41" s="195"/>
      <c r="UI41" s="195"/>
      <c r="UJ41" s="195"/>
      <c r="UK41" s="195"/>
      <c r="UL41" s="195"/>
      <c r="UM41" s="195"/>
      <c r="UN41" s="195"/>
      <c r="UO41" s="195"/>
      <c r="UP41" s="195"/>
      <c r="UQ41" s="195"/>
      <c r="UR41" s="195"/>
      <c r="US41" s="195"/>
      <c r="UT41" s="195"/>
      <c r="UU41" s="195"/>
      <c r="UV41" s="195"/>
      <c r="UW41" s="195"/>
      <c r="UX41" s="195"/>
      <c r="UY41" s="195"/>
      <c r="UZ41" s="195"/>
      <c r="VA41" s="195"/>
      <c r="VB41" s="195"/>
      <c r="VC41" s="195"/>
      <c r="VD41" s="195"/>
      <c r="VE41" s="195"/>
      <c r="VF41" s="195"/>
      <c r="VG41" s="195"/>
      <c r="VH41" s="195"/>
      <c r="VI41" s="195"/>
      <c r="VJ41" s="195"/>
      <c r="VK41" s="195"/>
      <c r="VL41" s="195"/>
      <c r="VM41" s="195"/>
      <c r="VN41" s="195"/>
      <c r="VO41" s="195"/>
      <c r="VP41" s="195"/>
      <c r="VQ41" s="195"/>
      <c r="VR41" s="195"/>
      <c r="VS41" s="195"/>
      <c r="VT41" s="195"/>
      <c r="VU41" s="195"/>
      <c r="VV41" s="195"/>
      <c r="VW41" s="195"/>
      <c r="VX41" s="195"/>
      <c r="VY41" s="195"/>
      <c r="VZ41" s="195"/>
      <c r="WA41" s="195"/>
      <c r="WB41" s="195"/>
      <c r="WC41" s="195"/>
      <c r="WD41" s="195"/>
      <c r="WE41" s="195"/>
      <c r="WF41" s="195"/>
      <c r="WG41" s="195"/>
      <c r="WH41" s="195"/>
      <c r="WI41" s="195"/>
      <c r="WJ41" s="195"/>
      <c r="WK41" s="195"/>
      <c r="WL41" s="195"/>
      <c r="WM41" s="195"/>
      <c r="WN41" s="195"/>
      <c r="WO41" s="195"/>
      <c r="WP41" s="195"/>
      <c r="WQ41" s="195"/>
      <c r="WR41" s="195"/>
      <c r="WS41" s="195"/>
      <c r="WT41" s="195"/>
      <c r="WU41" s="195"/>
      <c r="WV41" s="195"/>
      <c r="WW41" s="195"/>
      <c r="WX41" s="195"/>
      <c r="WY41" s="195"/>
      <c r="WZ41" s="195"/>
      <c r="XA41" s="195"/>
      <c r="XB41" s="195"/>
      <c r="XC41" s="195"/>
      <c r="XD41" s="195"/>
      <c r="XE41" s="195"/>
      <c r="XF41" s="195"/>
      <c r="XG41" s="195"/>
      <c r="XH41" s="195"/>
      <c r="XI41" s="195"/>
      <c r="XJ41" s="195"/>
      <c r="XK41" s="195"/>
      <c r="XL41" s="195"/>
      <c r="XM41" s="195"/>
      <c r="XN41" s="195"/>
      <c r="XO41" s="195"/>
      <c r="XP41" s="195"/>
      <c r="XQ41" s="195"/>
      <c r="XR41" s="195"/>
      <c r="XS41" s="195"/>
      <c r="XT41" s="195"/>
      <c r="XU41" s="195"/>
      <c r="XV41" s="195"/>
      <c r="XW41" s="195"/>
      <c r="XX41" s="195"/>
      <c r="XY41" s="195"/>
      <c r="XZ41" s="195"/>
      <c r="YA41" s="195"/>
      <c r="YB41" s="195"/>
      <c r="YC41" s="195"/>
      <c r="YD41" s="195"/>
      <c r="YE41" s="195"/>
      <c r="YF41" s="195"/>
      <c r="YG41" s="195"/>
      <c r="YH41" s="195"/>
      <c r="YI41" s="195"/>
      <c r="YJ41" s="195"/>
      <c r="YK41" s="195"/>
      <c r="YL41" s="195"/>
      <c r="YM41" s="195"/>
      <c r="YN41" s="195"/>
      <c r="YO41" s="195"/>
      <c r="YP41" s="195"/>
      <c r="YQ41" s="195"/>
      <c r="YR41" s="195"/>
      <c r="YS41" s="195"/>
      <c r="YT41" s="195"/>
      <c r="YU41" s="195"/>
      <c r="YV41" s="195"/>
      <c r="YW41" s="195"/>
      <c r="YX41" s="195"/>
      <c r="YY41" s="195"/>
      <c r="YZ41" s="195"/>
      <c r="ZA41" s="195"/>
      <c r="ZB41" s="195"/>
      <c r="ZC41" s="195"/>
      <c r="ZD41" s="195"/>
      <c r="ZE41" s="195"/>
      <c r="ZF41" s="195"/>
      <c r="ZG41" s="195"/>
      <c r="ZH41" s="195"/>
      <c r="ZI41" s="195"/>
      <c r="ZJ41" s="195"/>
      <c r="ZK41" s="195"/>
      <c r="ZL41" s="195"/>
      <c r="ZM41" s="195"/>
      <c r="ZN41" s="195"/>
      <c r="ZO41" s="195"/>
      <c r="ZP41" s="195"/>
      <c r="ZQ41" s="195"/>
      <c r="ZR41" s="195"/>
      <c r="ZS41" s="195"/>
      <c r="ZT41" s="195"/>
      <c r="ZU41" s="195"/>
      <c r="ZV41" s="195"/>
      <c r="ZW41" s="195"/>
      <c r="ZX41" s="195"/>
      <c r="ZY41" s="195"/>
      <c r="ZZ41" s="195"/>
      <c r="AAA41" s="195"/>
      <c r="AAB41" s="195"/>
      <c r="AAC41" s="195"/>
      <c r="AAD41" s="195"/>
      <c r="AAE41" s="195"/>
      <c r="AAF41" s="195"/>
      <c r="AAG41" s="195"/>
      <c r="AAH41" s="195"/>
      <c r="AAI41" s="195"/>
      <c r="AAJ41" s="195"/>
      <c r="AAK41" s="195"/>
      <c r="AAL41" s="195"/>
      <c r="AAM41" s="195"/>
      <c r="AAN41" s="195"/>
      <c r="AAO41" s="195"/>
      <c r="AAP41" s="195"/>
      <c r="AAQ41" s="195"/>
      <c r="AAR41" s="195"/>
      <c r="AAS41" s="195"/>
      <c r="AAT41" s="195"/>
      <c r="AAU41" s="195"/>
      <c r="AAV41" s="195"/>
      <c r="AAW41" s="195"/>
      <c r="AAX41" s="195"/>
      <c r="AAY41" s="195"/>
      <c r="AAZ41" s="195"/>
      <c r="ABA41" s="195"/>
      <c r="ABB41" s="195"/>
      <c r="ABC41" s="195"/>
      <c r="ABD41" s="195"/>
      <c r="ABE41" s="195"/>
      <c r="ABF41" s="195"/>
      <c r="ABG41" s="195"/>
      <c r="ABH41" s="195"/>
      <c r="ABI41" s="195"/>
      <c r="ABJ41" s="195"/>
      <c r="ABK41" s="195"/>
      <c r="ABL41" s="195"/>
      <c r="ABM41" s="195"/>
      <c r="ABN41" s="195"/>
      <c r="ABO41" s="195"/>
      <c r="ABP41" s="195"/>
      <c r="ABQ41" s="195"/>
      <c r="ABR41" s="195"/>
      <c r="ABS41" s="195"/>
      <c r="ABT41" s="195"/>
      <c r="ABU41" s="195"/>
      <c r="ABV41" s="195"/>
      <c r="ABW41" s="195"/>
      <c r="ABX41" s="195"/>
      <c r="ABY41" s="195"/>
      <c r="ABZ41" s="195"/>
      <c r="ACA41" s="195"/>
      <c r="ACB41" s="195"/>
      <c r="ACC41" s="195"/>
      <c r="ACD41" s="195"/>
      <c r="ACE41" s="195"/>
      <c r="ACF41" s="195"/>
      <c r="ACG41" s="195"/>
      <c r="ACH41" s="195"/>
      <c r="ACI41" s="195"/>
      <c r="ACJ41" s="195"/>
      <c r="ACK41" s="195"/>
      <c r="ACL41" s="195"/>
      <c r="ACM41" s="195"/>
      <c r="ACN41" s="195"/>
      <c r="ACO41" s="195"/>
      <c r="ACP41" s="195"/>
      <c r="ACQ41" s="195"/>
      <c r="ACR41" s="195"/>
      <c r="ACS41" s="195"/>
      <c r="ACT41" s="195"/>
      <c r="ACU41" s="195"/>
      <c r="ACV41" s="195"/>
      <c r="ACW41" s="195"/>
      <c r="ACX41" s="195"/>
      <c r="ACY41" s="195"/>
      <c r="ACZ41" s="195"/>
      <c r="ADA41" s="195"/>
      <c r="ADB41" s="195"/>
      <c r="ADC41" s="195"/>
      <c r="ADD41" s="195"/>
      <c r="ADE41" s="195"/>
      <c r="ADF41" s="195"/>
      <c r="ADG41" s="195"/>
      <c r="ADH41" s="195"/>
      <c r="ADI41" s="195"/>
      <c r="ADJ41" s="195"/>
      <c r="ADK41" s="195"/>
      <c r="ADL41" s="195"/>
      <c r="ADM41" s="195"/>
      <c r="ADN41" s="195"/>
      <c r="ADO41" s="195"/>
      <c r="ADP41" s="195"/>
      <c r="ADQ41" s="195"/>
      <c r="ADR41" s="195"/>
      <c r="ADS41" s="195"/>
      <c r="ADT41" s="195"/>
      <c r="ADU41" s="195"/>
      <c r="ADV41" s="195"/>
      <c r="ADW41" s="195"/>
      <c r="ADX41" s="195"/>
      <c r="ADY41" s="195"/>
      <c r="ADZ41" s="195"/>
      <c r="AEA41" s="195"/>
      <c r="AEB41" s="195"/>
      <c r="AEC41" s="195"/>
      <c r="AED41" s="195"/>
      <c r="AEE41" s="195"/>
      <c r="AEF41" s="195"/>
      <c r="AEG41" s="195"/>
      <c r="AEH41" s="195"/>
      <c r="AEI41" s="195"/>
      <c r="AEJ41" s="195"/>
      <c r="AEK41" s="195"/>
      <c r="AEL41" s="195"/>
      <c r="AEM41" s="195"/>
      <c r="AEN41" s="195"/>
      <c r="AEO41" s="195"/>
      <c r="AEP41" s="195"/>
      <c r="AEQ41" s="195"/>
      <c r="AER41" s="195"/>
      <c r="AES41" s="195"/>
      <c r="AET41" s="195"/>
      <c r="AEU41" s="195"/>
      <c r="AEV41" s="195"/>
      <c r="AEW41" s="195"/>
      <c r="AEX41" s="195"/>
      <c r="AEY41" s="195"/>
      <c r="AEZ41" s="195"/>
      <c r="AFA41" s="195"/>
      <c r="AFB41" s="195"/>
      <c r="AFC41" s="195"/>
      <c r="AFD41" s="195"/>
      <c r="AFE41" s="195"/>
      <c r="AFF41" s="195"/>
      <c r="AFG41" s="195"/>
      <c r="AFH41" s="195"/>
      <c r="AFI41" s="195"/>
      <c r="AFJ41" s="195"/>
      <c r="AFK41" s="195"/>
      <c r="AFL41" s="195"/>
      <c r="AFM41" s="195"/>
      <c r="AFN41" s="195"/>
      <c r="AFO41" s="195"/>
      <c r="AFP41" s="195"/>
      <c r="AFQ41" s="195"/>
      <c r="AFR41" s="195"/>
      <c r="AFS41" s="195"/>
      <c r="AFT41" s="195"/>
      <c r="AFU41" s="195"/>
      <c r="AFV41" s="195"/>
      <c r="AFW41" s="195"/>
      <c r="AFX41" s="195"/>
      <c r="AFY41" s="195"/>
      <c r="AFZ41" s="195"/>
      <c r="AGA41" s="195"/>
      <c r="AGB41" s="195"/>
      <c r="AGC41" s="195"/>
      <c r="AGD41" s="195"/>
      <c r="AGE41" s="195"/>
      <c r="AGF41" s="195"/>
      <c r="AGG41" s="195"/>
      <c r="AGH41" s="195"/>
      <c r="AGI41" s="195"/>
      <c r="AGJ41" s="195"/>
      <c r="AGK41" s="195"/>
      <c r="AGL41" s="195"/>
      <c r="AGM41" s="195"/>
      <c r="AGN41" s="195"/>
      <c r="AGO41" s="195"/>
      <c r="AGP41" s="195"/>
      <c r="AGQ41" s="195"/>
      <c r="AGR41" s="195"/>
      <c r="AGS41" s="195"/>
      <c r="AGT41" s="195"/>
      <c r="AGU41" s="195"/>
      <c r="AGV41" s="195"/>
      <c r="AGW41" s="195"/>
      <c r="AGX41" s="195"/>
      <c r="AGY41" s="195"/>
      <c r="AGZ41" s="195"/>
      <c r="AHA41" s="195"/>
      <c r="AHB41" s="195"/>
      <c r="AHC41" s="195"/>
      <c r="AHD41" s="195"/>
      <c r="AHE41" s="195"/>
      <c r="AHF41" s="195"/>
      <c r="AHG41" s="195"/>
      <c r="AHH41" s="195"/>
      <c r="AHI41" s="195"/>
      <c r="AHJ41" s="195"/>
      <c r="AHK41" s="195"/>
      <c r="AHL41" s="195"/>
      <c r="AHM41" s="195"/>
      <c r="AHN41" s="195"/>
      <c r="AHO41" s="195"/>
      <c r="AHP41" s="195"/>
      <c r="AHQ41" s="195"/>
      <c r="AHR41" s="195"/>
      <c r="AHS41" s="195"/>
      <c r="AHT41" s="195"/>
      <c r="AHU41" s="195"/>
      <c r="AHV41" s="195"/>
      <c r="AHW41" s="195"/>
      <c r="AHX41" s="195"/>
      <c r="AHY41" s="195"/>
      <c r="AHZ41" s="195"/>
      <c r="AIA41" s="195"/>
      <c r="AIB41" s="195"/>
      <c r="AIC41" s="195"/>
      <c r="AID41" s="195"/>
      <c r="AIE41" s="195"/>
      <c r="AIF41" s="195"/>
      <c r="AIG41" s="195"/>
      <c r="AIH41" s="195"/>
      <c r="AII41" s="195"/>
    </row>
    <row r="42" spans="1:919" s="189" customFormat="1" ht="12.75" customHeight="1">
      <c r="A42" s="188">
        <v>0.18</v>
      </c>
      <c r="B42" s="188">
        <v>0.84</v>
      </c>
      <c r="C42" s="188">
        <f t="shared" ref="C42:D79" si="1">IF(LEN(I42)=0,"",1+ABS((I42*A42)/LEN(I42))+A42)</f>
        <v>27440.499999999996</v>
      </c>
      <c r="D42" s="188">
        <f t="shared" si="1"/>
        <v>107969.7</v>
      </c>
      <c r="E42" s="459" t="s">
        <v>2234</v>
      </c>
      <c r="F42" s="503" t="s">
        <v>2235</v>
      </c>
      <c r="G42" s="515"/>
      <c r="H42" s="431">
        <v>218</v>
      </c>
      <c r="I42" s="536">
        <f>IFERROR(IF(AND(I43,I44,I45,I46,I47,I48,I49,I54,I58,I59,I60)="","",SUM(I43,I44,I45,I46,I47,I48,I49,I54,I58,I59,I60)),"")</f>
        <v>914644</v>
      </c>
      <c r="J42" s="537">
        <f>IFERROR(IF(AND(J43,J44,J45,J46,J47,J48,J49,J54,J58,J59,J60)="","",SUM(J43,J44,J45,J46,J47,J48,J49,J54,J58,J59,J60)),"")</f>
        <v>771199</v>
      </c>
    </row>
    <row r="43" spans="1:919" s="189" customFormat="1" ht="12.75" customHeight="1">
      <c r="A43" s="188">
        <v>0.19</v>
      </c>
      <c r="B43" s="188">
        <v>0.85</v>
      </c>
      <c r="C43" s="188">
        <f t="shared" si="1"/>
        <v>21536.328333333331</v>
      </c>
      <c r="D43" s="188">
        <f t="shared" si="1"/>
        <v>76837.03333333334</v>
      </c>
      <c r="E43" s="459" t="s">
        <v>2091</v>
      </c>
      <c r="F43" s="504" t="s">
        <v>2236</v>
      </c>
      <c r="G43" s="515"/>
      <c r="H43" s="433">
        <v>219</v>
      </c>
      <c r="I43" s="436">
        <v>680057</v>
      </c>
      <c r="J43" s="415">
        <v>542366</v>
      </c>
    </row>
    <row r="44" spans="1:919" s="189" customFormat="1" ht="12.75" customHeight="1">
      <c r="A44" s="188">
        <v>0.2</v>
      </c>
      <c r="B44" s="188">
        <v>0.86</v>
      </c>
      <c r="C44" s="188">
        <f t="shared" si="1"/>
        <v>187.85</v>
      </c>
      <c r="D44" s="188">
        <f t="shared" si="1"/>
        <v>2364.6240000000003</v>
      </c>
      <c r="E44" s="459" t="s">
        <v>2093</v>
      </c>
      <c r="F44" s="504" t="s">
        <v>2237</v>
      </c>
      <c r="G44" s="515"/>
      <c r="H44" s="433">
        <v>220</v>
      </c>
      <c r="I44" s="436">
        <v>3733</v>
      </c>
      <c r="J44" s="415">
        <v>13737</v>
      </c>
    </row>
    <row r="45" spans="1:919" s="189" customFormat="1" ht="12.75" customHeight="1">
      <c r="A45" s="188">
        <v>0.21</v>
      </c>
      <c r="B45" s="188">
        <v>0.87</v>
      </c>
      <c r="C45" s="188" t="str">
        <f t="shared" si="1"/>
        <v/>
      </c>
      <c r="D45" s="188" t="str">
        <f t="shared" si="1"/>
        <v/>
      </c>
      <c r="E45" s="459" t="s">
        <v>2101</v>
      </c>
      <c r="F45" s="504" t="s">
        <v>2238</v>
      </c>
      <c r="G45" s="515"/>
      <c r="H45" s="433">
        <v>221</v>
      </c>
      <c r="I45" s="436"/>
      <c r="J45" s="415"/>
    </row>
    <row r="46" spans="1:919" s="189" customFormat="1" ht="12.75" customHeight="1">
      <c r="A46" s="188">
        <v>0.22</v>
      </c>
      <c r="B46" s="188">
        <v>0.88</v>
      </c>
      <c r="C46" s="188">
        <f t="shared" si="1"/>
        <v>986.59999999999991</v>
      </c>
      <c r="D46" s="188">
        <f t="shared" si="1"/>
        <v>3799.6080000000002</v>
      </c>
      <c r="E46" s="459" t="s">
        <v>2108</v>
      </c>
      <c r="F46" s="504" t="s">
        <v>2239</v>
      </c>
      <c r="G46" s="515"/>
      <c r="H46" s="433">
        <v>222</v>
      </c>
      <c r="I46" s="436">
        <v>22395</v>
      </c>
      <c r="J46" s="415">
        <v>21578</v>
      </c>
    </row>
    <row r="47" spans="1:919" s="189" customFormat="1" ht="12.75" customHeight="1">
      <c r="A47" s="188">
        <v>0.23</v>
      </c>
      <c r="B47" s="188">
        <v>0.89</v>
      </c>
      <c r="C47" s="188">
        <f t="shared" si="1"/>
        <v>4435.6759999999995</v>
      </c>
      <c r="D47" s="188">
        <f t="shared" si="1"/>
        <v>15086.856</v>
      </c>
      <c r="E47" s="459" t="s">
        <v>2122</v>
      </c>
      <c r="F47" s="504" t="s">
        <v>2240</v>
      </c>
      <c r="G47" s="515"/>
      <c r="H47" s="433">
        <v>223</v>
      </c>
      <c r="I47" s="436">
        <v>96401</v>
      </c>
      <c r="J47" s="415">
        <v>84747</v>
      </c>
    </row>
    <row r="48" spans="1:919" s="189" customFormat="1" ht="12.75" customHeight="1">
      <c r="A48" s="188">
        <v>0.24</v>
      </c>
      <c r="B48" s="188">
        <v>0.9</v>
      </c>
      <c r="C48" s="188">
        <f t="shared" si="1"/>
        <v>1704.184</v>
      </c>
      <c r="D48" s="188">
        <f t="shared" si="1"/>
        <v>5266</v>
      </c>
      <c r="E48" s="459" t="s">
        <v>2125</v>
      </c>
      <c r="F48" s="504" t="s">
        <v>2241</v>
      </c>
      <c r="G48" s="515"/>
      <c r="H48" s="433">
        <v>224</v>
      </c>
      <c r="I48" s="436">
        <v>35478</v>
      </c>
      <c r="J48" s="415">
        <v>29245</v>
      </c>
    </row>
    <row r="49" spans="1:10" s="189" customFormat="1" ht="12.75" customHeight="1">
      <c r="A49" s="188">
        <v>0.25</v>
      </c>
      <c r="B49" s="188">
        <v>0.91</v>
      </c>
      <c r="C49" s="188" t="str">
        <f t="shared" si="1"/>
        <v/>
      </c>
      <c r="D49" s="188" t="str">
        <f t="shared" si="1"/>
        <v/>
      </c>
      <c r="E49" s="459" t="s">
        <v>2128</v>
      </c>
      <c r="F49" s="462" t="s">
        <v>2242</v>
      </c>
      <c r="G49" s="515"/>
      <c r="H49" s="433">
        <v>225</v>
      </c>
      <c r="I49" s="435" t="str">
        <f>IFERROR(IF(AND(I50:I53)="","",SUM(I50:I53)),"")</f>
        <v/>
      </c>
      <c r="J49" s="416" t="str">
        <f>IFERROR(IF(AND(J50:J53)="","",SUM(J50:J53)),"")</f>
        <v/>
      </c>
    </row>
    <row r="50" spans="1:10" s="189" customFormat="1" ht="12.75" customHeight="1">
      <c r="A50" s="188">
        <v>0.26</v>
      </c>
      <c r="B50" s="188">
        <v>0.92</v>
      </c>
      <c r="C50" s="188" t="str">
        <f t="shared" si="1"/>
        <v/>
      </c>
      <c r="D50" s="188" t="str">
        <f t="shared" si="1"/>
        <v/>
      </c>
      <c r="E50" s="459" t="s">
        <v>2243</v>
      </c>
      <c r="F50" s="462" t="s">
        <v>2244</v>
      </c>
      <c r="G50" s="515"/>
      <c r="H50" s="433">
        <v>226</v>
      </c>
      <c r="I50" s="436"/>
      <c r="J50" s="415"/>
    </row>
    <row r="51" spans="1:10" s="189" customFormat="1" ht="12.75" customHeight="1">
      <c r="A51" s="188">
        <v>0.27</v>
      </c>
      <c r="B51" s="188">
        <v>0.93</v>
      </c>
      <c r="C51" s="188" t="str">
        <f t="shared" si="1"/>
        <v/>
      </c>
      <c r="D51" s="188" t="str">
        <f t="shared" si="1"/>
        <v/>
      </c>
      <c r="E51" s="494" t="s">
        <v>2245</v>
      </c>
      <c r="F51" s="505" t="s">
        <v>2246</v>
      </c>
      <c r="G51" s="516"/>
      <c r="H51" s="486">
        <v>227</v>
      </c>
      <c r="I51" s="522"/>
      <c r="J51" s="521"/>
    </row>
    <row r="52" spans="1:10" s="189" customFormat="1" ht="12.75" customHeight="1">
      <c r="A52" s="188">
        <v>0.28000000000000003</v>
      </c>
      <c r="B52" s="188">
        <v>0.94</v>
      </c>
      <c r="C52" s="188" t="str">
        <f t="shared" si="1"/>
        <v/>
      </c>
      <c r="D52" s="188" t="str">
        <f t="shared" si="1"/>
        <v/>
      </c>
      <c r="E52" s="495" t="s">
        <v>2247</v>
      </c>
      <c r="F52" s="506" t="s">
        <v>2248</v>
      </c>
      <c r="G52" s="517"/>
      <c r="H52" s="481">
        <v>228</v>
      </c>
      <c r="I52" s="482"/>
      <c r="J52" s="466"/>
    </row>
    <row r="53" spans="1:10" s="189" customFormat="1" ht="12.75" customHeight="1">
      <c r="A53" s="188">
        <v>0.28999999999999998</v>
      </c>
      <c r="B53" s="188">
        <v>0.95</v>
      </c>
      <c r="C53" s="188" t="str">
        <f t="shared" si="1"/>
        <v/>
      </c>
      <c r="D53" s="188" t="str">
        <f t="shared" si="1"/>
        <v/>
      </c>
      <c r="E53" s="459" t="s">
        <v>2249</v>
      </c>
      <c r="F53" s="462" t="s">
        <v>2250</v>
      </c>
      <c r="G53" s="515"/>
      <c r="H53" s="433">
        <v>229</v>
      </c>
      <c r="I53" s="436"/>
      <c r="J53" s="415"/>
    </row>
    <row r="54" spans="1:10" s="189" customFormat="1" ht="12.75" customHeight="1">
      <c r="A54" s="188">
        <v>0.3</v>
      </c>
      <c r="B54" s="188">
        <v>0.96</v>
      </c>
      <c r="C54" s="188" t="str">
        <f t="shared" si="1"/>
        <v/>
      </c>
      <c r="D54" s="188" t="str">
        <f t="shared" si="1"/>
        <v/>
      </c>
      <c r="E54" s="496" t="s">
        <v>2130</v>
      </c>
      <c r="F54" s="507" t="s">
        <v>2251</v>
      </c>
      <c r="G54" s="518"/>
      <c r="H54" s="484">
        <v>230</v>
      </c>
      <c r="I54" s="526" t="str">
        <f>IFERROR(IF(AND(I55:I57)="","",SUM(I55:I57)),"")</f>
        <v/>
      </c>
      <c r="J54" s="527" t="str">
        <f>IFERROR(IF(AND(J55:J57)="","",SUM(J55:J57)),"")</f>
        <v/>
      </c>
    </row>
    <row r="55" spans="1:10" s="189" customFormat="1" ht="12.75" customHeight="1">
      <c r="A55" s="188">
        <v>0.31</v>
      </c>
      <c r="B55" s="188">
        <v>0.97</v>
      </c>
      <c r="C55" s="188" t="str">
        <f t="shared" si="1"/>
        <v/>
      </c>
      <c r="D55" s="188" t="str">
        <f t="shared" si="1"/>
        <v/>
      </c>
      <c r="E55" s="459" t="s">
        <v>2252</v>
      </c>
      <c r="F55" s="462" t="s">
        <v>2253</v>
      </c>
      <c r="G55" s="515"/>
      <c r="H55" s="433">
        <v>231</v>
      </c>
      <c r="I55" s="436"/>
      <c r="J55" s="415"/>
    </row>
    <row r="56" spans="1:10" s="189" customFormat="1" ht="12.75" customHeight="1">
      <c r="A56" s="188">
        <v>0.32</v>
      </c>
      <c r="B56" s="188">
        <v>0.98</v>
      </c>
      <c r="C56" s="188" t="str">
        <f t="shared" si="1"/>
        <v/>
      </c>
      <c r="D56" s="188" t="str">
        <f t="shared" si="1"/>
        <v/>
      </c>
      <c r="E56" s="459" t="s">
        <v>2134</v>
      </c>
      <c r="F56" s="462" t="s">
        <v>2254</v>
      </c>
      <c r="G56" s="515"/>
      <c r="H56" s="433">
        <v>232</v>
      </c>
      <c r="I56" s="436"/>
      <c r="J56" s="415"/>
    </row>
    <row r="57" spans="1:10" s="189" customFormat="1" ht="12.75" customHeight="1">
      <c r="A57" s="188">
        <v>0.33</v>
      </c>
      <c r="B57" s="188">
        <v>0.99</v>
      </c>
      <c r="C57" s="188" t="str">
        <f t="shared" si="1"/>
        <v/>
      </c>
      <c r="D57" s="188" t="str">
        <f t="shared" si="1"/>
        <v/>
      </c>
      <c r="E57" s="459" t="s">
        <v>2137</v>
      </c>
      <c r="F57" s="462" t="s">
        <v>2255</v>
      </c>
      <c r="G57" s="515"/>
      <c r="H57" s="433">
        <v>233</v>
      </c>
      <c r="I57" s="436"/>
      <c r="J57" s="415"/>
    </row>
    <row r="58" spans="1:10" s="189" customFormat="1" ht="12.75" customHeight="1">
      <c r="A58" s="188">
        <v>0.34</v>
      </c>
      <c r="B58" s="188">
        <v>1</v>
      </c>
      <c r="C58" s="188" t="str">
        <f t="shared" si="1"/>
        <v/>
      </c>
      <c r="D58" s="188" t="str">
        <f t="shared" si="1"/>
        <v/>
      </c>
      <c r="E58" s="459" t="s">
        <v>2256</v>
      </c>
      <c r="F58" s="462" t="s">
        <v>2257</v>
      </c>
      <c r="G58" s="515"/>
      <c r="H58" s="433">
        <v>234</v>
      </c>
      <c r="I58" s="436"/>
      <c r="J58" s="415"/>
    </row>
    <row r="59" spans="1:10" s="189" customFormat="1" ht="12.75" customHeight="1">
      <c r="A59" s="188">
        <v>0.35</v>
      </c>
      <c r="B59" s="188">
        <v>1.01</v>
      </c>
      <c r="C59" s="188">
        <f t="shared" si="1"/>
        <v>393.26249999999999</v>
      </c>
      <c r="D59" s="188">
        <f t="shared" si="1"/>
        <v>2217.1420000000003</v>
      </c>
      <c r="E59" s="497" t="s">
        <v>2258</v>
      </c>
      <c r="F59" s="508" t="s">
        <v>2259</v>
      </c>
      <c r="G59" s="519"/>
      <c r="H59" s="451">
        <v>235</v>
      </c>
      <c r="I59" s="457">
        <v>4479</v>
      </c>
      <c r="J59" s="439">
        <v>10966</v>
      </c>
    </row>
    <row r="60" spans="1:10" s="189" customFormat="1" ht="12.75" customHeight="1">
      <c r="A60" s="188">
        <v>0.36</v>
      </c>
      <c r="B60" s="188">
        <v>1.02</v>
      </c>
      <c r="C60" s="188">
        <f t="shared" si="1"/>
        <v>5192.6319999999996</v>
      </c>
      <c r="D60" s="188">
        <f t="shared" si="1"/>
        <v>13988.26</v>
      </c>
      <c r="E60" s="459" t="s">
        <v>2260</v>
      </c>
      <c r="F60" s="462" t="s">
        <v>2261</v>
      </c>
      <c r="G60" s="515"/>
      <c r="H60" s="433">
        <v>236</v>
      </c>
      <c r="I60" s="436">
        <v>72101</v>
      </c>
      <c r="J60" s="415">
        <v>68560</v>
      </c>
    </row>
    <row r="61" spans="1:10" s="189" customFormat="1" ht="12.75" customHeight="1">
      <c r="A61" s="188">
        <v>0.37</v>
      </c>
      <c r="B61" s="188">
        <v>1.03</v>
      </c>
      <c r="C61" s="188" t="str">
        <f t="shared" si="1"/>
        <v/>
      </c>
      <c r="D61" s="188" t="str">
        <f t="shared" si="1"/>
        <v/>
      </c>
      <c r="E61" s="498"/>
      <c r="F61" s="504"/>
      <c r="G61" s="515"/>
      <c r="H61" s="433"/>
      <c r="I61" s="435"/>
      <c r="J61" s="416"/>
    </row>
    <row r="62" spans="1:10" s="189" customFormat="1" ht="12.75" customHeight="1">
      <c r="A62" s="188">
        <v>0.38</v>
      </c>
      <c r="B62" s="188">
        <v>1.04</v>
      </c>
      <c r="C62" s="188">
        <f t="shared" si="1"/>
        <v>259336.83142857143</v>
      </c>
      <c r="D62" s="188">
        <f t="shared" si="1"/>
        <v>846745.9714285715</v>
      </c>
      <c r="E62" s="499" t="s">
        <v>2262</v>
      </c>
      <c r="F62" s="509" t="s">
        <v>2263</v>
      </c>
      <c r="G62" s="515"/>
      <c r="H62" s="431">
        <v>237</v>
      </c>
      <c r="I62" s="536">
        <f>IFERROR(IF(AND(I20,I42)="","",(IF((SUM(I20)-SUM(I42))&gt;=0,(SUM(I20)-SUM(I42)),0))),"")</f>
        <v>4777232</v>
      </c>
      <c r="J62" s="537">
        <f>IFERROR(IF(AND(J20,J42)="","",(IF((SUM(J20)-SUM(J42))&gt;=0,(SUM(J20)-SUM(J42)),0))),"")</f>
        <v>5699238</v>
      </c>
    </row>
    <row r="63" spans="1:10" s="189" customFormat="1" ht="12.75" customHeight="1">
      <c r="A63" s="188">
        <v>0.39</v>
      </c>
      <c r="B63" s="188">
        <v>1.05</v>
      </c>
      <c r="C63" s="188">
        <f t="shared" si="1"/>
        <v>1.3900000000000001</v>
      </c>
      <c r="D63" s="188">
        <f t="shared" si="1"/>
        <v>2.0499999999999998</v>
      </c>
      <c r="E63" s="499" t="s">
        <v>2264</v>
      </c>
      <c r="F63" s="509" t="s">
        <v>2265</v>
      </c>
      <c r="G63" s="515"/>
      <c r="H63" s="431">
        <v>238</v>
      </c>
      <c r="I63" s="536">
        <f>IFERROR(IF(AND(I20,I42)="","",(IF((SUM(I20)-SUM(I42))&lt;0,(SUM(I42)-SUM(I20)),0))),"")</f>
        <v>0</v>
      </c>
      <c r="J63" s="537">
        <f>IFERROR(IF(AND(J20,J42)="","",(IF((SUM(J20)-SUM(J42))&lt;0,(SUM(J42)-SUM(J20)),0))),"")</f>
        <v>0</v>
      </c>
    </row>
    <row r="64" spans="1:10" s="189" customFormat="1" ht="12.75" customHeight="1">
      <c r="A64" s="188">
        <v>0.4</v>
      </c>
      <c r="B64" s="188">
        <v>1.06</v>
      </c>
      <c r="C64" s="188" t="str">
        <f t="shared" si="1"/>
        <v/>
      </c>
      <c r="D64" s="188" t="str">
        <f t="shared" si="1"/>
        <v/>
      </c>
      <c r="E64" s="499"/>
      <c r="F64" s="509"/>
      <c r="G64" s="515"/>
      <c r="H64" s="433"/>
      <c r="I64" s="435"/>
      <c r="J64" s="416"/>
    </row>
    <row r="65" spans="1:919" s="189" customFormat="1" ht="12.75" customHeight="1">
      <c r="A65" s="188">
        <v>0.41</v>
      </c>
      <c r="B65" s="188">
        <v>1.07</v>
      </c>
      <c r="C65" s="188">
        <f t="shared" si="1"/>
        <v>30515.454999999998</v>
      </c>
      <c r="D65" s="188" t="str">
        <f t="shared" si="1"/>
        <v/>
      </c>
      <c r="E65" s="499" t="s">
        <v>2266</v>
      </c>
      <c r="F65" s="509" t="s">
        <v>2267</v>
      </c>
      <c r="G65" s="515"/>
      <c r="H65" s="431">
        <v>239</v>
      </c>
      <c r="I65" s="538">
        <f>IFERROR(IF(AND(I66:I67)="","",SUM(I66:I67)),"")</f>
        <v>446547</v>
      </c>
      <c r="J65" s="539" t="str">
        <f>IFERROR(IF(AND(J66:J67)="","",SUM(J66:J67)),"")</f>
        <v/>
      </c>
    </row>
    <row r="66" spans="1:919" s="189" customFormat="1" ht="12.75" customHeight="1">
      <c r="A66" s="188">
        <v>0.42</v>
      </c>
      <c r="B66" s="188">
        <v>1.08</v>
      </c>
      <c r="C66" s="188">
        <f t="shared" si="1"/>
        <v>31259.709999999995</v>
      </c>
      <c r="D66" s="188" t="str">
        <f t="shared" si="1"/>
        <v/>
      </c>
      <c r="E66" s="500" t="s">
        <v>2091</v>
      </c>
      <c r="F66" s="510" t="s">
        <v>2268</v>
      </c>
      <c r="G66" s="515"/>
      <c r="H66" s="433">
        <v>240</v>
      </c>
      <c r="I66" s="524">
        <v>446547</v>
      </c>
      <c r="J66" s="525"/>
    </row>
    <row r="67" spans="1:919" s="189" customFormat="1" ht="12.75" customHeight="1">
      <c r="A67" s="188">
        <v>0.43</v>
      </c>
      <c r="B67" s="188">
        <v>1.0900000000000001</v>
      </c>
      <c r="C67" s="188" t="str">
        <f t="shared" si="1"/>
        <v/>
      </c>
      <c r="D67" s="188" t="str">
        <f t="shared" si="1"/>
        <v/>
      </c>
      <c r="E67" s="500" t="s">
        <v>2093</v>
      </c>
      <c r="F67" s="510" t="s">
        <v>2269</v>
      </c>
      <c r="G67" s="515"/>
      <c r="H67" s="433">
        <v>241</v>
      </c>
      <c r="I67" s="436"/>
      <c r="J67" s="415"/>
    </row>
    <row r="68" spans="1:919" s="189" customFormat="1" ht="12.75" customHeight="1">
      <c r="A68" s="188">
        <v>0.44</v>
      </c>
      <c r="B68" s="188">
        <v>1.1000000000000001</v>
      </c>
      <c r="C68" s="188" t="str">
        <f t="shared" si="1"/>
        <v/>
      </c>
      <c r="D68" s="188" t="str">
        <f t="shared" si="1"/>
        <v/>
      </c>
      <c r="E68" s="498"/>
      <c r="F68" s="503"/>
      <c r="G68" s="515"/>
      <c r="H68" s="433"/>
      <c r="I68" s="435"/>
      <c r="J68" s="416"/>
    </row>
    <row r="69" spans="1:919" s="189" customFormat="1" ht="12.75" customHeight="1">
      <c r="A69" s="188">
        <v>0.45</v>
      </c>
      <c r="B69" s="188">
        <v>1.1100000000000001</v>
      </c>
      <c r="C69" s="188">
        <f t="shared" si="1"/>
        <v>278402.62857142859</v>
      </c>
      <c r="D69" s="188">
        <f t="shared" si="1"/>
        <v>903738.42142857146</v>
      </c>
      <c r="E69" s="499" t="s">
        <v>2270</v>
      </c>
      <c r="F69" s="509" t="s">
        <v>2271</v>
      </c>
      <c r="G69" s="515"/>
      <c r="H69" s="431">
        <v>242</v>
      </c>
      <c r="I69" s="536">
        <f>IFERROR(IF(AND(I62,I65)="","",(IF(I62&gt;=0,(SUM(I62)-SUM(I65)),0))),"")</f>
        <v>4330685</v>
      </c>
      <c r="J69" s="537">
        <f>IFERROR(IF(AND(J62,J65)="","",(IF(J62&gt;=0,(SUM(J62)-SUM(J65)),0))),"")</f>
        <v>5699238</v>
      </c>
    </row>
    <row r="70" spans="1:919" s="189" customFormat="1" ht="12.75" customHeight="1">
      <c r="A70" s="188">
        <v>0.46</v>
      </c>
      <c r="B70" s="188">
        <v>1.1200000000000001</v>
      </c>
      <c r="C70" s="188">
        <f t="shared" si="1"/>
        <v>1.46</v>
      </c>
      <c r="D70" s="188">
        <f t="shared" si="1"/>
        <v>2.12</v>
      </c>
      <c r="E70" s="499" t="s">
        <v>2272</v>
      </c>
      <c r="F70" s="509" t="s">
        <v>2273</v>
      </c>
      <c r="G70" s="515"/>
      <c r="H70" s="431">
        <v>243</v>
      </c>
      <c r="I70" s="536">
        <f>IFERROR(IF(AND(I63,I65)="","",(IF(I63&gt;0,(SUM(I63)+SUM(I65)),0))),"")</f>
        <v>0</v>
      </c>
      <c r="J70" s="537">
        <f>IFERROR(IF(AND(J63,J65)="","",(IF(J63&gt;0,(SUM(J63)+SUM(J65)),0))),"")</f>
        <v>0</v>
      </c>
    </row>
    <row r="71" spans="1:919" s="189" customFormat="1" ht="12" customHeight="1">
      <c r="A71" s="188">
        <v>0.47</v>
      </c>
      <c r="B71" s="188">
        <v>1.1299999999999999</v>
      </c>
      <c r="C71" s="188" t="str">
        <f t="shared" si="1"/>
        <v/>
      </c>
      <c r="D71" s="188" t="str">
        <f t="shared" si="1"/>
        <v/>
      </c>
      <c r="E71" s="498"/>
      <c r="F71" s="504"/>
      <c r="G71" s="515"/>
      <c r="H71" s="433"/>
      <c r="I71" s="435"/>
      <c r="J71" s="416"/>
    </row>
    <row r="72" spans="1:919" s="189" customFormat="1" ht="12.75" customHeight="1">
      <c r="A72" s="188">
        <v>0.48</v>
      </c>
      <c r="B72" s="188">
        <v>1.1399999999999999</v>
      </c>
      <c r="C72" s="188" t="str">
        <f t="shared" si="1"/>
        <v/>
      </c>
      <c r="D72" s="188" t="str">
        <f t="shared" si="1"/>
        <v/>
      </c>
      <c r="E72" s="499"/>
      <c r="F72" s="509" t="s">
        <v>2274</v>
      </c>
      <c r="G72" s="515"/>
      <c r="H72" s="433"/>
      <c r="I72" s="435"/>
      <c r="J72" s="416"/>
    </row>
    <row r="73" spans="1:919" s="189" customFormat="1" ht="12.75" customHeight="1">
      <c r="A73" s="188">
        <v>0.49</v>
      </c>
      <c r="B73" s="188">
        <v>1.1499999999999999</v>
      </c>
      <c r="C73" s="188" t="str">
        <f t="shared" si="1"/>
        <v/>
      </c>
      <c r="D73" s="188" t="str">
        <f t="shared" si="1"/>
        <v/>
      </c>
      <c r="E73" s="501" t="s">
        <v>2275</v>
      </c>
      <c r="F73" s="511" t="s">
        <v>2276</v>
      </c>
      <c r="G73" s="519"/>
      <c r="H73" s="480">
        <v>244</v>
      </c>
      <c r="I73" s="540" t="str">
        <f>IFERROR(IF(AND(I74,I79)="","",SUM(I74,I79)),"")</f>
        <v/>
      </c>
      <c r="J73" s="541" t="str">
        <f>IFERROR(IF(AND(J74,J79)="","",SUM(J74,J79)),"")</f>
        <v/>
      </c>
    </row>
    <row r="74" spans="1:919" s="189" customFormat="1" ht="12.75" customHeight="1">
      <c r="A74" s="188">
        <v>0.5</v>
      </c>
      <c r="B74" s="188">
        <v>1.1599999999999999</v>
      </c>
      <c r="C74" s="188" t="str">
        <f t="shared" si="1"/>
        <v/>
      </c>
      <c r="D74" s="188" t="str">
        <f t="shared" si="1"/>
        <v/>
      </c>
      <c r="E74" s="500" t="s">
        <v>2091</v>
      </c>
      <c r="F74" s="510" t="s">
        <v>2277</v>
      </c>
      <c r="G74" s="515"/>
      <c r="H74" s="433">
        <v>245</v>
      </c>
      <c r="I74" s="435" t="str">
        <f>IFERROR(IF(AND(I75,I76,I77,I78)="","",(SUM(I75,I76,I77)-SUM(I78))),"")</f>
        <v/>
      </c>
      <c r="J74" s="416" t="str">
        <f>IFERROR(IF(AND(J75,J76,J77,J78)="","",(SUM(J75,J76,J77)-SUM(J78))),"")</f>
        <v/>
      </c>
    </row>
    <row r="75" spans="1:919" s="189" customFormat="1" ht="25.5">
      <c r="A75" s="188">
        <v>0.51</v>
      </c>
      <c r="B75" s="188">
        <v>1.17</v>
      </c>
      <c r="C75" s="188" t="str">
        <f t="shared" si="1"/>
        <v/>
      </c>
      <c r="D75" s="188" t="str">
        <f t="shared" si="1"/>
        <v/>
      </c>
      <c r="E75" s="500" t="s">
        <v>2170</v>
      </c>
      <c r="F75" s="512" t="s">
        <v>2278</v>
      </c>
      <c r="G75" s="515"/>
      <c r="H75" s="433">
        <v>246</v>
      </c>
      <c r="I75" s="436"/>
      <c r="J75" s="415"/>
    </row>
    <row r="76" spans="1:919" s="189" customFormat="1" ht="12.75" customHeight="1">
      <c r="A76" s="188">
        <v>0.52</v>
      </c>
      <c r="B76" s="188">
        <v>1.18</v>
      </c>
      <c r="C76" s="188" t="str">
        <f t="shared" si="1"/>
        <v/>
      </c>
      <c r="D76" s="188" t="str">
        <f t="shared" si="1"/>
        <v/>
      </c>
      <c r="E76" s="500" t="s">
        <v>2172</v>
      </c>
      <c r="F76" s="512" t="s">
        <v>2279</v>
      </c>
      <c r="G76" s="515"/>
      <c r="H76" s="433">
        <v>247</v>
      </c>
      <c r="I76" s="436"/>
      <c r="J76" s="415"/>
    </row>
    <row r="77" spans="1:919" s="189" customFormat="1" ht="12.75" customHeight="1">
      <c r="A77" s="188">
        <v>0.53</v>
      </c>
      <c r="B77" s="188">
        <v>1.19</v>
      </c>
      <c r="C77" s="188" t="str">
        <f t="shared" si="1"/>
        <v/>
      </c>
      <c r="D77" s="188" t="str">
        <f t="shared" si="1"/>
        <v/>
      </c>
      <c r="E77" s="500" t="s">
        <v>2218</v>
      </c>
      <c r="F77" s="512" t="s">
        <v>2280</v>
      </c>
      <c r="G77" s="515"/>
      <c r="H77" s="433">
        <v>248</v>
      </c>
      <c r="I77" s="436"/>
      <c r="J77" s="415"/>
    </row>
    <row r="78" spans="1:919" s="189" customFormat="1" ht="12.75" customHeight="1">
      <c r="A78" s="188">
        <v>0.54</v>
      </c>
      <c r="B78" s="188">
        <v>1.2</v>
      </c>
      <c r="C78" s="188" t="str">
        <f t="shared" si="1"/>
        <v/>
      </c>
      <c r="D78" s="188" t="str">
        <f t="shared" si="1"/>
        <v/>
      </c>
      <c r="E78" s="500" t="s">
        <v>2281</v>
      </c>
      <c r="F78" s="512" t="s">
        <v>2282</v>
      </c>
      <c r="G78" s="515"/>
      <c r="H78" s="433">
        <v>249</v>
      </c>
      <c r="I78" s="436"/>
      <c r="J78" s="415"/>
    </row>
    <row r="79" spans="1:919" s="189" customFormat="1" ht="12.75" customHeight="1">
      <c r="A79" s="188">
        <v>0.55000000000000004</v>
      </c>
      <c r="B79" s="188">
        <v>1.21</v>
      </c>
      <c r="C79" s="188" t="str">
        <f t="shared" si="1"/>
        <v/>
      </c>
      <c r="D79" s="188" t="str">
        <f t="shared" si="1"/>
        <v/>
      </c>
      <c r="E79" s="502" t="s">
        <v>2093</v>
      </c>
      <c r="F79" s="513" t="s">
        <v>2283</v>
      </c>
      <c r="G79" s="520"/>
      <c r="H79" s="434">
        <v>250</v>
      </c>
      <c r="I79" s="437" t="str">
        <f>IFERROR(IF(AND(I83,I84,I85)="","",(SUM(I83,I84)-SUM(I85))),"")</f>
        <v/>
      </c>
      <c r="J79" s="417" t="str">
        <f>IFERROR(IF(AND(J83,J84,J85)="","",(SUM(J83,J84)-SUM(J85))),"")</f>
        <v/>
      </c>
    </row>
    <row r="80" spans="1:919" s="196" customFormat="1" ht="21.75" customHeight="1">
      <c r="A80" s="390"/>
      <c r="B80" s="390"/>
      <c r="C80" s="390"/>
      <c r="D80" s="390"/>
      <c r="E80" s="464" t="str">
        <f>E39</f>
        <v>Kontrolni broj: 1189520239</v>
      </c>
      <c r="F80" s="390"/>
      <c r="G80" s="463"/>
      <c r="H80" s="195"/>
      <c r="I80" s="195"/>
      <c r="J80" s="393" t="s">
        <v>2193</v>
      </c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  <c r="IA80" s="195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5"/>
      <c r="IM80" s="195"/>
      <c r="IN80" s="195"/>
      <c r="IO80" s="195"/>
      <c r="IP80" s="195"/>
      <c r="IQ80" s="195"/>
      <c r="IR80" s="195"/>
      <c r="IS80" s="195"/>
      <c r="IT80" s="195"/>
      <c r="IU80" s="195"/>
      <c r="IV80" s="195"/>
      <c r="IW80" s="195"/>
      <c r="IX80" s="195"/>
      <c r="IY80" s="195"/>
      <c r="IZ80" s="195"/>
      <c r="JA80" s="195"/>
      <c r="JB80" s="195"/>
      <c r="JC80" s="195"/>
      <c r="JD80" s="195"/>
      <c r="JE80" s="195"/>
      <c r="JF80" s="195"/>
      <c r="JG80" s="195"/>
      <c r="JH80" s="195"/>
      <c r="JI80" s="195"/>
      <c r="JJ80" s="195"/>
      <c r="JK80" s="195"/>
      <c r="JL80" s="195"/>
      <c r="JM80" s="195"/>
      <c r="JN80" s="195"/>
      <c r="JO80" s="195"/>
      <c r="JP80" s="195"/>
      <c r="JQ80" s="195"/>
      <c r="JR80" s="195"/>
      <c r="JS80" s="195"/>
      <c r="JT80" s="195"/>
      <c r="JU80" s="195"/>
      <c r="JV80" s="195"/>
      <c r="JW80" s="195"/>
      <c r="JX80" s="195"/>
      <c r="JY80" s="195"/>
      <c r="JZ80" s="195"/>
      <c r="KA80" s="195"/>
      <c r="KB80" s="195"/>
      <c r="KC80" s="195"/>
      <c r="KD80" s="195"/>
      <c r="KE80" s="195"/>
      <c r="KF80" s="195"/>
      <c r="KG80" s="195"/>
      <c r="KH80" s="195"/>
      <c r="KI80" s="195"/>
      <c r="KJ80" s="195"/>
      <c r="KK80" s="195"/>
      <c r="KL80" s="195"/>
      <c r="KM80" s="195"/>
      <c r="KN80" s="195"/>
      <c r="KO80" s="195"/>
      <c r="KP80" s="195"/>
      <c r="KQ80" s="195"/>
      <c r="KR80" s="195"/>
      <c r="KS80" s="195"/>
      <c r="KT80" s="195"/>
      <c r="KU80" s="195"/>
      <c r="KV80" s="195"/>
      <c r="KW80" s="195"/>
      <c r="KX80" s="195"/>
      <c r="KY80" s="195"/>
      <c r="KZ80" s="195"/>
      <c r="LA80" s="195"/>
      <c r="LB80" s="195"/>
      <c r="LC80" s="195"/>
      <c r="LD80" s="195"/>
      <c r="LE80" s="195"/>
      <c r="LF80" s="195"/>
      <c r="LG80" s="195"/>
      <c r="LH80" s="195"/>
      <c r="LI80" s="195"/>
      <c r="LJ80" s="195"/>
      <c r="LK80" s="195"/>
      <c r="LL80" s="195"/>
      <c r="LM80" s="195"/>
      <c r="LN80" s="195"/>
      <c r="LO80" s="195"/>
      <c r="LP80" s="195"/>
      <c r="LQ80" s="195"/>
      <c r="LR80" s="195"/>
      <c r="LS80" s="195"/>
      <c r="LT80" s="195"/>
      <c r="LU80" s="195"/>
      <c r="LV80" s="195"/>
      <c r="LW80" s="195"/>
      <c r="LX80" s="195"/>
      <c r="LY80" s="195"/>
      <c r="LZ80" s="195"/>
      <c r="MA80" s="195"/>
      <c r="MB80" s="195"/>
      <c r="MC80" s="195"/>
      <c r="MD80" s="195"/>
      <c r="ME80" s="195"/>
      <c r="MF80" s="195"/>
      <c r="MG80" s="195"/>
      <c r="MH80" s="195"/>
      <c r="MI80" s="195"/>
      <c r="MJ80" s="195"/>
      <c r="MK80" s="195"/>
      <c r="ML80" s="195"/>
      <c r="MM80" s="195"/>
      <c r="MN80" s="195"/>
      <c r="MO80" s="195"/>
      <c r="MP80" s="195"/>
      <c r="MQ80" s="195"/>
      <c r="MR80" s="195"/>
      <c r="MS80" s="195"/>
      <c r="MT80" s="195"/>
      <c r="MU80" s="195"/>
      <c r="MV80" s="195"/>
      <c r="MW80" s="195"/>
      <c r="MX80" s="195"/>
      <c r="MY80" s="195"/>
      <c r="MZ80" s="195"/>
      <c r="NA80" s="195"/>
      <c r="NB80" s="195"/>
      <c r="NC80" s="195"/>
      <c r="ND80" s="195"/>
      <c r="NE80" s="195"/>
      <c r="NF80" s="195"/>
      <c r="NG80" s="195"/>
      <c r="NH80" s="195"/>
      <c r="NI80" s="195"/>
      <c r="NJ80" s="195"/>
      <c r="NK80" s="195"/>
      <c r="NL80" s="195"/>
      <c r="NM80" s="195"/>
      <c r="NN80" s="195"/>
      <c r="NO80" s="195"/>
      <c r="NP80" s="195"/>
      <c r="NQ80" s="195"/>
      <c r="NR80" s="195"/>
      <c r="NS80" s="195"/>
      <c r="NT80" s="195"/>
      <c r="NU80" s="195"/>
      <c r="NV80" s="195"/>
      <c r="NW80" s="195"/>
      <c r="NX80" s="195"/>
      <c r="NY80" s="195"/>
      <c r="NZ80" s="195"/>
      <c r="OA80" s="195"/>
      <c r="OB80" s="195"/>
      <c r="OC80" s="195"/>
      <c r="OD80" s="195"/>
      <c r="OE80" s="195"/>
      <c r="OF80" s="195"/>
      <c r="OG80" s="195"/>
      <c r="OH80" s="195"/>
      <c r="OI80" s="195"/>
      <c r="OJ80" s="195"/>
      <c r="OK80" s="195"/>
      <c r="OL80" s="195"/>
      <c r="OM80" s="195"/>
      <c r="ON80" s="195"/>
      <c r="OO80" s="195"/>
      <c r="OP80" s="195"/>
      <c r="OQ80" s="195"/>
      <c r="OR80" s="195"/>
      <c r="OS80" s="195"/>
      <c r="OT80" s="195"/>
      <c r="OU80" s="195"/>
      <c r="OV80" s="195"/>
      <c r="OW80" s="195"/>
      <c r="OX80" s="195"/>
      <c r="OY80" s="195"/>
      <c r="OZ80" s="195"/>
      <c r="PA80" s="195"/>
      <c r="PB80" s="195"/>
      <c r="PC80" s="195"/>
      <c r="PD80" s="195"/>
      <c r="PE80" s="195"/>
      <c r="PF80" s="195"/>
      <c r="PG80" s="195"/>
      <c r="PH80" s="195"/>
      <c r="PI80" s="195"/>
      <c r="PJ80" s="195"/>
      <c r="PK80" s="195"/>
      <c r="PL80" s="195"/>
      <c r="PM80" s="195"/>
      <c r="PN80" s="195"/>
      <c r="PO80" s="195"/>
      <c r="PP80" s="195"/>
      <c r="PQ80" s="195"/>
      <c r="PR80" s="195"/>
      <c r="PS80" s="195"/>
      <c r="PT80" s="195"/>
      <c r="PU80" s="195"/>
      <c r="PV80" s="195"/>
      <c r="PW80" s="195"/>
      <c r="PX80" s="195"/>
      <c r="PY80" s="195"/>
      <c r="PZ80" s="195"/>
      <c r="QA80" s="195"/>
      <c r="QB80" s="195"/>
      <c r="QC80" s="195"/>
      <c r="QD80" s="195"/>
      <c r="QE80" s="195"/>
      <c r="QF80" s="195"/>
      <c r="QG80" s="195"/>
      <c r="QH80" s="195"/>
      <c r="QI80" s="195"/>
      <c r="QJ80" s="195"/>
      <c r="QK80" s="195"/>
      <c r="QL80" s="195"/>
      <c r="QM80" s="195"/>
      <c r="QN80" s="195"/>
      <c r="QO80" s="195"/>
      <c r="QP80" s="195"/>
      <c r="QQ80" s="195"/>
      <c r="QR80" s="195"/>
      <c r="QS80" s="195"/>
      <c r="QT80" s="195"/>
      <c r="QU80" s="195"/>
      <c r="QV80" s="195"/>
      <c r="QW80" s="195"/>
      <c r="QX80" s="195"/>
      <c r="QY80" s="195"/>
      <c r="QZ80" s="195"/>
      <c r="RA80" s="195"/>
      <c r="RB80" s="195"/>
      <c r="RC80" s="195"/>
      <c r="RD80" s="195"/>
      <c r="RE80" s="195"/>
      <c r="RF80" s="195"/>
      <c r="RG80" s="195"/>
      <c r="RH80" s="195"/>
      <c r="RI80" s="195"/>
      <c r="RJ80" s="195"/>
      <c r="RK80" s="195"/>
      <c r="RL80" s="195"/>
      <c r="RM80" s="195"/>
      <c r="RN80" s="195"/>
      <c r="RO80" s="195"/>
      <c r="RP80" s="195"/>
      <c r="RQ80" s="195"/>
      <c r="RR80" s="195"/>
      <c r="RS80" s="195"/>
      <c r="RT80" s="195"/>
      <c r="RU80" s="195"/>
      <c r="RV80" s="195"/>
      <c r="RW80" s="195"/>
      <c r="RX80" s="195"/>
      <c r="RY80" s="195"/>
      <c r="RZ80" s="195"/>
      <c r="SA80" s="195"/>
      <c r="SB80" s="195"/>
      <c r="SC80" s="195"/>
      <c r="SD80" s="195"/>
      <c r="SE80" s="195"/>
      <c r="SF80" s="195"/>
      <c r="SG80" s="195"/>
      <c r="SH80" s="195"/>
      <c r="SI80" s="195"/>
      <c r="SJ80" s="195"/>
      <c r="SK80" s="195"/>
      <c r="SL80" s="195"/>
      <c r="SM80" s="195"/>
      <c r="SN80" s="195"/>
      <c r="SO80" s="195"/>
      <c r="SP80" s="195"/>
      <c r="SQ80" s="195"/>
      <c r="SR80" s="195"/>
      <c r="SS80" s="195"/>
      <c r="ST80" s="195"/>
      <c r="SU80" s="195"/>
      <c r="SV80" s="195"/>
      <c r="SW80" s="195"/>
      <c r="SX80" s="195"/>
      <c r="SY80" s="195"/>
      <c r="SZ80" s="195"/>
      <c r="TA80" s="195"/>
      <c r="TB80" s="195"/>
      <c r="TC80" s="195"/>
      <c r="TD80" s="195"/>
      <c r="TE80" s="195"/>
      <c r="TF80" s="195"/>
      <c r="TG80" s="195"/>
      <c r="TH80" s="195"/>
      <c r="TI80" s="195"/>
      <c r="TJ80" s="195"/>
      <c r="TK80" s="195"/>
      <c r="TL80" s="195"/>
      <c r="TM80" s="195"/>
      <c r="TN80" s="195"/>
      <c r="TO80" s="195"/>
      <c r="TP80" s="195"/>
      <c r="TQ80" s="195"/>
      <c r="TR80" s="195"/>
      <c r="TS80" s="195"/>
      <c r="TT80" s="195"/>
      <c r="TU80" s="195"/>
      <c r="TV80" s="195"/>
      <c r="TW80" s="195"/>
      <c r="TX80" s="195"/>
      <c r="TY80" s="195"/>
      <c r="TZ80" s="195"/>
      <c r="UA80" s="195"/>
      <c r="UB80" s="195"/>
      <c r="UC80" s="195"/>
      <c r="UD80" s="195"/>
      <c r="UE80" s="195"/>
      <c r="UF80" s="195"/>
      <c r="UG80" s="195"/>
      <c r="UH80" s="195"/>
      <c r="UI80" s="195"/>
      <c r="UJ80" s="195"/>
      <c r="UK80" s="195"/>
      <c r="UL80" s="195"/>
      <c r="UM80" s="195"/>
      <c r="UN80" s="195"/>
      <c r="UO80" s="195"/>
      <c r="UP80" s="195"/>
      <c r="UQ80" s="195"/>
      <c r="UR80" s="195"/>
      <c r="US80" s="195"/>
      <c r="UT80" s="195"/>
      <c r="UU80" s="195"/>
      <c r="UV80" s="195"/>
      <c r="UW80" s="195"/>
      <c r="UX80" s="195"/>
      <c r="UY80" s="195"/>
      <c r="UZ80" s="195"/>
      <c r="VA80" s="195"/>
      <c r="VB80" s="195"/>
      <c r="VC80" s="195"/>
      <c r="VD80" s="195"/>
      <c r="VE80" s="195"/>
      <c r="VF80" s="195"/>
      <c r="VG80" s="195"/>
      <c r="VH80" s="195"/>
      <c r="VI80" s="195"/>
      <c r="VJ80" s="195"/>
      <c r="VK80" s="195"/>
      <c r="VL80" s="195"/>
      <c r="VM80" s="195"/>
      <c r="VN80" s="195"/>
      <c r="VO80" s="195"/>
      <c r="VP80" s="195"/>
      <c r="VQ80" s="195"/>
      <c r="VR80" s="195"/>
      <c r="VS80" s="195"/>
      <c r="VT80" s="195"/>
      <c r="VU80" s="195"/>
      <c r="VV80" s="195"/>
      <c r="VW80" s="195"/>
      <c r="VX80" s="195"/>
      <c r="VY80" s="195"/>
      <c r="VZ80" s="195"/>
      <c r="WA80" s="195"/>
      <c r="WB80" s="195"/>
      <c r="WC80" s="195"/>
      <c r="WD80" s="195"/>
      <c r="WE80" s="195"/>
      <c r="WF80" s="195"/>
      <c r="WG80" s="195"/>
      <c r="WH80" s="195"/>
      <c r="WI80" s="195"/>
      <c r="WJ80" s="195"/>
      <c r="WK80" s="195"/>
      <c r="WL80" s="195"/>
      <c r="WM80" s="195"/>
      <c r="WN80" s="195"/>
      <c r="WO80" s="195"/>
      <c r="WP80" s="195"/>
      <c r="WQ80" s="195"/>
      <c r="WR80" s="195"/>
      <c r="WS80" s="195"/>
      <c r="WT80" s="195"/>
      <c r="WU80" s="195"/>
      <c r="WV80" s="195"/>
      <c r="WW80" s="195"/>
      <c r="WX80" s="195"/>
      <c r="WY80" s="195"/>
      <c r="WZ80" s="195"/>
      <c r="XA80" s="195"/>
      <c r="XB80" s="195"/>
      <c r="XC80" s="195"/>
      <c r="XD80" s="195"/>
      <c r="XE80" s="195"/>
      <c r="XF80" s="195"/>
      <c r="XG80" s="195"/>
      <c r="XH80" s="195"/>
      <c r="XI80" s="195"/>
      <c r="XJ80" s="195"/>
      <c r="XK80" s="195"/>
      <c r="XL80" s="195"/>
      <c r="XM80" s="195"/>
      <c r="XN80" s="195"/>
      <c r="XO80" s="195"/>
      <c r="XP80" s="195"/>
      <c r="XQ80" s="195"/>
      <c r="XR80" s="195"/>
      <c r="XS80" s="195"/>
      <c r="XT80" s="195"/>
      <c r="XU80" s="195"/>
      <c r="XV80" s="195"/>
      <c r="XW80" s="195"/>
      <c r="XX80" s="195"/>
      <c r="XY80" s="195"/>
      <c r="XZ80" s="195"/>
      <c r="YA80" s="195"/>
      <c r="YB80" s="195"/>
      <c r="YC80" s="195"/>
      <c r="YD80" s="195"/>
      <c r="YE80" s="195"/>
      <c r="YF80" s="195"/>
      <c r="YG80" s="195"/>
      <c r="YH80" s="195"/>
      <c r="YI80" s="195"/>
      <c r="YJ80" s="195"/>
      <c r="YK80" s="195"/>
      <c r="YL80" s="195"/>
      <c r="YM80" s="195"/>
      <c r="YN80" s="195"/>
      <c r="YO80" s="195"/>
      <c r="YP80" s="195"/>
      <c r="YQ80" s="195"/>
      <c r="YR80" s="195"/>
      <c r="YS80" s="195"/>
      <c r="YT80" s="195"/>
      <c r="YU80" s="195"/>
      <c r="YV80" s="195"/>
      <c r="YW80" s="195"/>
      <c r="YX80" s="195"/>
      <c r="YY80" s="195"/>
      <c r="YZ80" s="195"/>
      <c r="ZA80" s="195"/>
      <c r="ZB80" s="195"/>
      <c r="ZC80" s="195"/>
      <c r="ZD80" s="195"/>
      <c r="ZE80" s="195"/>
      <c r="ZF80" s="195"/>
      <c r="ZG80" s="195"/>
      <c r="ZH80" s="195"/>
      <c r="ZI80" s="195"/>
      <c r="ZJ80" s="195"/>
      <c r="ZK80" s="195"/>
      <c r="ZL80" s="195"/>
      <c r="ZM80" s="195"/>
      <c r="ZN80" s="195"/>
      <c r="ZO80" s="195"/>
      <c r="ZP80" s="195"/>
      <c r="ZQ80" s="195"/>
      <c r="ZR80" s="195"/>
      <c r="ZS80" s="195"/>
      <c r="ZT80" s="195"/>
      <c r="ZU80" s="195"/>
      <c r="ZV80" s="195"/>
      <c r="ZW80" s="195"/>
      <c r="ZX80" s="195"/>
      <c r="ZY80" s="195"/>
      <c r="ZZ80" s="195"/>
      <c r="AAA80" s="195"/>
      <c r="AAB80" s="195"/>
      <c r="AAC80" s="195"/>
      <c r="AAD80" s="195"/>
      <c r="AAE80" s="195"/>
      <c r="AAF80" s="195"/>
      <c r="AAG80" s="195"/>
      <c r="AAH80" s="195"/>
      <c r="AAI80" s="195"/>
      <c r="AAJ80" s="195"/>
      <c r="AAK80" s="195"/>
      <c r="AAL80" s="195"/>
      <c r="AAM80" s="195"/>
      <c r="AAN80" s="195"/>
      <c r="AAO80" s="195"/>
      <c r="AAP80" s="195"/>
      <c r="AAQ80" s="195"/>
      <c r="AAR80" s="195"/>
      <c r="AAS80" s="195"/>
      <c r="AAT80" s="195"/>
      <c r="AAU80" s="195"/>
      <c r="AAV80" s="195"/>
      <c r="AAW80" s="195"/>
      <c r="AAX80" s="195"/>
      <c r="AAY80" s="195"/>
      <c r="AAZ80" s="195"/>
      <c r="ABA80" s="195"/>
      <c r="ABB80" s="195"/>
      <c r="ABC80" s="195"/>
      <c r="ABD80" s="195"/>
      <c r="ABE80" s="195"/>
      <c r="ABF80" s="195"/>
      <c r="ABG80" s="195"/>
      <c r="ABH80" s="195"/>
      <c r="ABI80" s="195"/>
      <c r="ABJ80" s="195"/>
      <c r="ABK80" s="195"/>
      <c r="ABL80" s="195"/>
      <c r="ABM80" s="195"/>
      <c r="ABN80" s="195"/>
      <c r="ABO80" s="195"/>
      <c r="ABP80" s="195"/>
      <c r="ABQ80" s="195"/>
      <c r="ABR80" s="195"/>
      <c r="ABS80" s="195"/>
      <c r="ABT80" s="195"/>
      <c r="ABU80" s="195"/>
      <c r="ABV80" s="195"/>
      <c r="ABW80" s="195"/>
      <c r="ABX80" s="195"/>
      <c r="ABY80" s="195"/>
      <c r="ABZ80" s="195"/>
      <c r="ACA80" s="195"/>
      <c r="ACB80" s="195"/>
      <c r="ACC80" s="195"/>
      <c r="ACD80" s="195"/>
      <c r="ACE80" s="195"/>
      <c r="ACF80" s="195"/>
      <c r="ACG80" s="195"/>
      <c r="ACH80" s="195"/>
      <c r="ACI80" s="195"/>
      <c r="ACJ80" s="195"/>
      <c r="ACK80" s="195"/>
      <c r="ACL80" s="195"/>
      <c r="ACM80" s="195"/>
      <c r="ACN80" s="195"/>
      <c r="ACO80" s="195"/>
      <c r="ACP80" s="195"/>
      <c r="ACQ80" s="195"/>
      <c r="ACR80" s="195"/>
      <c r="ACS80" s="195"/>
      <c r="ACT80" s="195"/>
      <c r="ACU80" s="195"/>
      <c r="ACV80" s="195"/>
      <c r="ACW80" s="195"/>
      <c r="ACX80" s="195"/>
      <c r="ACY80" s="195"/>
      <c r="ACZ80" s="195"/>
      <c r="ADA80" s="195"/>
      <c r="ADB80" s="195"/>
      <c r="ADC80" s="195"/>
      <c r="ADD80" s="195"/>
      <c r="ADE80" s="195"/>
      <c r="ADF80" s="195"/>
      <c r="ADG80" s="195"/>
      <c r="ADH80" s="195"/>
      <c r="ADI80" s="195"/>
      <c r="ADJ80" s="195"/>
      <c r="ADK80" s="195"/>
      <c r="ADL80" s="195"/>
      <c r="ADM80" s="195"/>
      <c r="ADN80" s="195"/>
      <c r="ADO80" s="195"/>
      <c r="ADP80" s="195"/>
      <c r="ADQ80" s="195"/>
      <c r="ADR80" s="195"/>
      <c r="ADS80" s="195"/>
      <c r="ADT80" s="195"/>
      <c r="ADU80" s="195"/>
      <c r="ADV80" s="195"/>
      <c r="ADW80" s="195"/>
      <c r="ADX80" s="195"/>
      <c r="ADY80" s="195"/>
      <c r="ADZ80" s="195"/>
      <c r="AEA80" s="195"/>
      <c r="AEB80" s="195"/>
      <c r="AEC80" s="195"/>
      <c r="AED80" s="195"/>
      <c r="AEE80" s="195"/>
      <c r="AEF80" s="195"/>
      <c r="AEG80" s="195"/>
      <c r="AEH80" s="195"/>
      <c r="AEI80" s="195"/>
      <c r="AEJ80" s="195"/>
      <c r="AEK80" s="195"/>
      <c r="AEL80" s="195"/>
      <c r="AEM80" s="195"/>
      <c r="AEN80" s="195"/>
      <c r="AEO80" s="195"/>
      <c r="AEP80" s="195"/>
      <c r="AEQ80" s="195"/>
      <c r="AER80" s="195"/>
      <c r="AES80" s="195"/>
      <c r="AET80" s="195"/>
      <c r="AEU80" s="195"/>
      <c r="AEV80" s="195"/>
      <c r="AEW80" s="195"/>
      <c r="AEX80" s="195"/>
      <c r="AEY80" s="195"/>
      <c r="AEZ80" s="195"/>
      <c r="AFA80" s="195"/>
      <c r="AFB80" s="195"/>
      <c r="AFC80" s="195"/>
      <c r="AFD80" s="195"/>
      <c r="AFE80" s="195"/>
      <c r="AFF80" s="195"/>
      <c r="AFG80" s="195"/>
      <c r="AFH80" s="195"/>
      <c r="AFI80" s="195"/>
      <c r="AFJ80" s="195"/>
      <c r="AFK80" s="195"/>
      <c r="AFL80" s="195"/>
      <c r="AFM80" s="195"/>
      <c r="AFN80" s="195"/>
      <c r="AFO80" s="195"/>
      <c r="AFP80" s="195"/>
      <c r="AFQ80" s="195"/>
      <c r="AFR80" s="195"/>
      <c r="AFS80" s="195"/>
      <c r="AFT80" s="195"/>
      <c r="AFU80" s="195"/>
      <c r="AFV80" s="195"/>
      <c r="AFW80" s="195"/>
      <c r="AFX80" s="195"/>
      <c r="AFY80" s="195"/>
      <c r="AFZ80" s="195"/>
      <c r="AGA80" s="195"/>
      <c r="AGB80" s="195"/>
      <c r="AGC80" s="195"/>
      <c r="AGD80" s="195"/>
      <c r="AGE80" s="195"/>
      <c r="AGF80" s="195"/>
      <c r="AGG80" s="195"/>
      <c r="AGH80" s="195"/>
      <c r="AGI80" s="195"/>
      <c r="AGJ80" s="195"/>
      <c r="AGK80" s="195"/>
      <c r="AGL80" s="195"/>
      <c r="AGM80" s="195"/>
      <c r="AGN80" s="195"/>
      <c r="AGO80" s="195"/>
      <c r="AGP80" s="195"/>
      <c r="AGQ80" s="195"/>
      <c r="AGR80" s="195"/>
      <c r="AGS80" s="195"/>
      <c r="AGT80" s="195"/>
      <c r="AGU80" s="195"/>
      <c r="AGV80" s="195"/>
      <c r="AGW80" s="195"/>
      <c r="AGX80" s="195"/>
      <c r="AGY80" s="195"/>
      <c r="AGZ80" s="195"/>
      <c r="AHA80" s="195"/>
      <c r="AHB80" s="195"/>
      <c r="AHC80" s="195"/>
      <c r="AHD80" s="195"/>
      <c r="AHE80" s="195"/>
      <c r="AHF80" s="195"/>
      <c r="AHG80" s="195"/>
      <c r="AHH80" s="195"/>
      <c r="AHI80" s="195"/>
      <c r="AHJ80" s="195"/>
      <c r="AHK80" s="195"/>
      <c r="AHL80" s="195"/>
      <c r="AHM80" s="195"/>
      <c r="AHN80" s="195"/>
      <c r="AHO80" s="195"/>
      <c r="AHP80" s="195"/>
      <c r="AHQ80" s="195"/>
      <c r="AHR80" s="195"/>
      <c r="AHS80" s="195"/>
      <c r="AHT80" s="195"/>
      <c r="AHU80" s="195"/>
      <c r="AHV80" s="195"/>
      <c r="AHW80" s="195"/>
      <c r="AHX80" s="195"/>
      <c r="AHY80" s="195"/>
      <c r="AHZ80" s="195"/>
      <c r="AIA80" s="195"/>
      <c r="AIB80" s="195"/>
      <c r="AIC80" s="195"/>
      <c r="AID80" s="195"/>
      <c r="AIE80" s="195"/>
      <c r="AIF80" s="195"/>
      <c r="AIG80" s="195"/>
      <c r="AIH80" s="195"/>
      <c r="AII80" s="195"/>
    </row>
    <row r="81" spans="1:10" s="189" customFormat="1" ht="38.25" customHeight="1">
      <c r="A81" s="188"/>
      <c r="B81" s="188"/>
      <c r="C81" s="188"/>
      <c r="D81" s="188"/>
      <c r="E81" s="467" t="s">
        <v>2085</v>
      </c>
      <c r="F81" s="473" t="s">
        <v>2050</v>
      </c>
      <c r="G81" s="473" t="s">
        <v>2086</v>
      </c>
      <c r="H81" s="480" t="s">
        <v>2087</v>
      </c>
      <c r="I81" s="480" t="str">
        <f>"Od "&amp;TEXT(OsnPodaci!A58,"dd.mm.")&amp;" do "&amp;TEXT(OsnPodaci!B58,"dd.mm.")&amp;" tekuće godine"</f>
        <v>Od 01.01. do 31.12. tekuće godine</v>
      </c>
      <c r="J81" s="483" t="str">
        <f>"Od "&amp;TEXT(OsnPodaci!A58,"dd.mm.")&amp;" do "&amp;TEXT(OsnPodaci!B58,"dd.mm.")&amp;" prethodne godine"</f>
        <v>Od 01.01. do 31.12. prethodne godine</v>
      </c>
    </row>
    <row r="82" spans="1:10" s="189" customFormat="1" ht="12.75" customHeight="1">
      <c r="A82" s="188"/>
      <c r="B82" s="188"/>
      <c r="C82" s="188"/>
      <c r="D82" s="188"/>
      <c r="E82" s="413">
        <v>1</v>
      </c>
      <c r="F82" s="423">
        <v>2</v>
      </c>
      <c r="G82" s="523">
        <v>3</v>
      </c>
      <c r="H82" s="432">
        <v>4</v>
      </c>
      <c r="I82" s="432">
        <v>5</v>
      </c>
      <c r="J82" s="414">
        <v>6</v>
      </c>
    </row>
    <row r="83" spans="1:10" s="189" customFormat="1" ht="25.5">
      <c r="A83" s="188">
        <v>0.56000000000000005</v>
      </c>
      <c r="B83" s="188">
        <v>1.22</v>
      </c>
      <c r="C83" s="188" t="str">
        <f>IF(LEN(I83)=0,"",1+ABS((I83*A83)/LEN(I83))+A83)</f>
        <v/>
      </c>
      <c r="D83" s="188" t="str">
        <f>IF(LEN(J83)=0,"",1+ABS((J83*B83)/LEN(J83))+B83)</f>
        <v/>
      </c>
      <c r="E83" s="468" t="s">
        <v>2096</v>
      </c>
      <c r="F83" s="474" t="s">
        <v>2284</v>
      </c>
      <c r="G83" s="425"/>
      <c r="H83" s="433">
        <v>251</v>
      </c>
      <c r="I83" s="436"/>
      <c r="J83" s="436"/>
    </row>
    <row r="84" spans="1:10" s="189" customFormat="1" ht="12.75" customHeight="1">
      <c r="A84" s="188">
        <v>0.56999999999999995</v>
      </c>
      <c r="B84" s="188">
        <v>1.23</v>
      </c>
      <c r="C84" s="188" t="str">
        <f t="shared" ref="C84:D92" si="2">IF(LEN(I84)=0,"",1+ABS((I84*A84)/LEN(I84))+A84)</f>
        <v/>
      </c>
      <c r="D84" s="188" t="str">
        <f t="shared" si="2"/>
        <v/>
      </c>
      <c r="E84" s="469" t="s">
        <v>2098</v>
      </c>
      <c r="F84" s="475" t="s">
        <v>2285</v>
      </c>
      <c r="G84" s="425"/>
      <c r="H84" s="433">
        <v>252</v>
      </c>
      <c r="I84" s="436"/>
      <c r="J84" s="436"/>
    </row>
    <row r="85" spans="1:10" s="189" customFormat="1" ht="12.75" customHeight="1">
      <c r="A85" s="188">
        <v>0.57999999999999996</v>
      </c>
      <c r="B85" s="188">
        <v>1.24</v>
      </c>
      <c r="C85" s="188" t="str">
        <f t="shared" si="2"/>
        <v/>
      </c>
      <c r="D85" s="188" t="str">
        <f t="shared" si="2"/>
        <v/>
      </c>
      <c r="E85" s="469" t="s">
        <v>2286</v>
      </c>
      <c r="F85" s="475" t="s">
        <v>2282</v>
      </c>
      <c r="G85" s="425"/>
      <c r="H85" s="433">
        <v>253</v>
      </c>
      <c r="I85" s="436"/>
      <c r="J85" s="436"/>
    </row>
    <row r="86" spans="1:10" s="189" customFormat="1" ht="12.75" customHeight="1">
      <c r="A86" s="188">
        <v>0.59</v>
      </c>
      <c r="B86" s="188">
        <v>1.25</v>
      </c>
      <c r="C86" s="188" t="str">
        <f t="shared" si="2"/>
        <v/>
      </c>
      <c r="D86" s="188" t="str">
        <f t="shared" si="2"/>
        <v/>
      </c>
      <c r="E86" s="470"/>
      <c r="F86" s="476"/>
      <c r="G86" s="425"/>
      <c r="H86" s="433"/>
      <c r="I86" s="435"/>
      <c r="J86" s="435"/>
    </row>
    <row r="87" spans="1:10" s="189" customFormat="1" ht="12.75" customHeight="1">
      <c r="A87" s="188">
        <v>0.6</v>
      </c>
      <c r="B87" s="188">
        <v>1.26</v>
      </c>
      <c r="C87" s="188" t="str">
        <f t="shared" si="2"/>
        <v/>
      </c>
      <c r="D87" s="188" t="str">
        <f t="shared" si="2"/>
        <v/>
      </c>
      <c r="E87" s="470"/>
      <c r="F87" s="476" t="s">
        <v>2287</v>
      </c>
      <c r="G87" s="485"/>
      <c r="H87" s="434"/>
      <c r="I87" s="437"/>
      <c r="J87" s="437"/>
    </row>
    <row r="88" spans="1:10" s="189" customFormat="1" ht="12.75" customHeight="1">
      <c r="A88" s="188">
        <v>0.61</v>
      </c>
      <c r="B88" s="188">
        <v>1.27</v>
      </c>
      <c r="C88" s="188">
        <f>IF(LEN(I88)=0,"",1+ABS((I88*A88)/LEN(I88))+A88)</f>
        <v>377389.87428571429</v>
      </c>
      <c r="D88" s="188">
        <f t="shared" si="2"/>
        <v>1034006.8785714286</v>
      </c>
      <c r="E88" s="471" t="s">
        <v>2288</v>
      </c>
      <c r="F88" s="476" t="s">
        <v>2289</v>
      </c>
      <c r="G88" s="425"/>
      <c r="H88" s="431">
        <v>254</v>
      </c>
      <c r="I88" s="538">
        <f>IFERROR(IF(AND(I69,I73,I70)="","",(IF((SUM(I69)+SUM(I73))&gt;=0,(SUM(I69)+SUM(I73)),IF((SUM(I70)-SUM(I73))&lt;0,(SUM(I73)-SUM(I70)),0)))),"")</f>
        <v>4330685</v>
      </c>
      <c r="J88" s="538">
        <f>IFERROR(IF(AND(J69,J73,J70)="","",(IF((SUM(J69)+SUM(J73))&gt;=0,(SUM(J69)+SUM(J73)),IF((SUM(J70)-SUM(J73))&lt;0,(SUM(J73)-SUM(J70)),0)))),"")</f>
        <v>5699238</v>
      </c>
    </row>
    <row r="89" spans="1:10" s="189" customFormat="1" ht="12.75" customHeight="1">
      <c r="A89" s="188">
        <v>0.619999999999999</v>
      </c>
      <c r="B89" s="188">
        <v>1.28</v>
      </c>
      <c r="C89" s="188">
        <f t="shared" si="2"/>
        <v>1.619999999999999</v>
      </c>
      <c r="D89" s="188">
        <f t="shared" si="2"/>
        <v>2.2800000000000002</v>
      </c>
      <c r="E89" s="471" t="s">
        <v>2290</v>
      </c>
      <c r="F89" s="476" t="s">
        <v>2291</v>
      </c>
      <c r="G89" s="425"/>
      <c r="H89" s="431">
        <v>255</v>
      </c>
      <c r="I89" s="538">
        <f>IFERROR(IF(AND(I69,I73,I70)="","",(IF((SUM(I70)-SUM(I73))&gt;0,(SUM(I70)-SUM(I73)),IF((SUM(I69)+SUM(I73))&lt;0,(SUM(I73)-SUM(I69)),0)))),"")</f>
        <v>0</v>
      </c>
      <c r="J89" s="538">
        <f>IFERROR(IF(AND(J69,J73,J70)="","",(IF((SUM(J70)-SUM(J73))&gt;0,(SUM(J70)-SUM(J73)),IF((SUM(J69)+SUM(J73))&lt;0,(SUM(J73)-SUM(J69)),0)))),"")</f>
        <v>0</v>
      </c>
    </row>
    <row r="90" spans="1:10" s="189" customFormat="1" ht="12.75" customHeight="1">
      <c r="A90" s="188">
        <v>0.62999999999999901</v>
      </c>
      <c r="B90" s="188">
        <v>1.29</v>
      </c>
      <c r="C90" s="188" t="str">
        <f t="shared" si="2"/>
        <v/>
      </c>
      <c r="D90" s="188" t="str">
        <f t="shared" si="2"/>
        <v/>
      </c>
      <c r="E90" s="470"/>
      <c r="F90" s="477"/>
      <c r="G90" s="425"/>
      <c r="H90" s="433"/>
      <c r="I90" s="435"/>
      <c r="J90" s="435"/>
    </row>
    <row r="91" spans="1:10" s="189" customFormat="1" ht="12.75" customHeight="1">
      <c r="A91" s="188">
        <v>0.63999999999999901</v>
      </c>
      <c r="B91" s="188">
        <v>1.3</v>
      </c>
      <c r="C91" s="188" t="str">
        <f t="shared" si="2"/>
        <v/>
      </c>
      <c r="D91" s="188" t="str">
        <f t="shared" si="2"/>
        <v/>
      </c>
      <c r="E91" s="471" t="s">
        <v>2292</v>
      </c>
      <c r="F91" s="478" t="s">
        <v>2293</v>
      </c>
      <c r="G91" s="425"/>
      <c r="H91" s="433"/>
      <c r="I91" s="435"/>
      <c r="J91" s="435"/>
    </row>
    <row r="92" spans="1:10" s="189" customFormat="1" ht="12.75" customHeight="1">
      <c r="A92" s="188">
        <v>0.64999999999999902</v>
      </c>
      <c r="B92" s="188">
        <v>1.31</v>
      </c>
      <c r="C92" s="188" t="str">
        <f t="shared" si="2"/>
        <v/>
      </c>
      <c r="D92" s="188" t="str">
        <f t="shared" si="2"/>
        <v/>
      </c>
      <c r="E92" s="470"/>
      <c r="F92" s="475" t="s">
        <v>2294</v>
      </c>
      <c r="G92" s="425"/>
      <c r="H92" s="433">
        <v>256</v>
      </c>
      <c r="I92" s="436"/>
      <c r="J92" s="436"/>
    </row>
    <row r="93" spans="1:10" s="189" customFormat="1" ht="12.75" customHeight="1">
      <c r="A93" s="188">
        <v>0.65999999999999903</v>
      </c>
      <c r="B93" s="188">
        <v>1.32</v>
      </c>
      <c r="C93" s="188" t="str">
        <f>IF(LEN(I93)=0,"",1+ABS((I93*A93)/LEN(I93))+A93)</f>
        <v/>
      </c>
      <c r="D93" s="188" t="str">
        <f>IF(LEN(J93)=0,"",1+ABS((J93*B93)/LEN(J93))+B93)</f>
        <v/>
      </c>
      <c r="E93" s="472"/>
      <c r="F93" s="479" t="s">
        <v>2295</v>
      </c>
      <c r="G93" s="485"/>
      <c r="H93" s="434">
        <v>257</v>
      </c>
      <c r="I93" s="438"/>
      <c r="J93" s="438"/>
    </row>
    <row r="94" spans="1:10" s="189" customFormat="1" ht="12.75" customHeight="1">
      <c r="A94" s="188"/>
      <c r="B94" s="188"/>
      <c r="C94" s="188"/>
      <c r="D94" s="188"/>
      <c r="E94" s="159"/>
      <c r="F94" s="159"/>
      <c r="G94" s="159"/>
      <c r="H94" s="159"/>
      <c r="I94" s="159"/>
      <c r="J94" s="159"/>
    </row>
    <row r="95" spans="1:10" s="189" customFormat="1" ht="12.75" customHeight="1">
      <c r="A95" s="188"/>
      <c r="B95" s="188"/>
      <c r="C95" s="188">
        <f>IF(ISERROR(ABS(LOG(ABS(SUM(C20:C93)),EXP(3)))),"",ABS(LOG(ABS(SUM(C20:C93)),EXP(3))))</f>
        <v>4.6730221316895157</v>
      </c>
      <c r="D95" s="188">
        <f>IF(ISERROR(ABS(LOG(ABS(SUM(D20:D93)),EXP(3)))),"",ABS(LOG(ABS(SUM(D20:D93)),EXP(3))))</f>
        <v>5.1420468130023886</v>
      </c>
      <c r="E95" s="159"/>
      <c r="F95" s="159"/>
      <c r="G95" s="159"/>
      <c r="H95" s="159"/>
      <c r="I95" s="159"/>
      <c r="J95" s="159"/>
    </row>
    <row r="96" spans="1:10" s="189" customFormat="1">
      <c r="A96" s="188"/>
      <c r="B96" s="188"/>
      <c r="C96" s="207" t="str">
        <f>IF(ISERROR(IF(ISERROR(MID(C95,FIND(".",C95,1)+11,13)),MID(C95,FIND(",",C95,1)+11,13),MID(C95,FIND(".",C95,1)+11,13))),"",IF(ISERROR(MID(C95,FIND(".",C95,1)+11,13)),MID(C95,FIND(",",C95,1)+11,13),MID(C95,FIND(".",C95,1)+11,13)))</f>
        <v>8952</v>
      </c>
      <c r="D96" s="207" t="str">
        <f>IF(ISERROR(IF(ISERROR(MID(D95,FIND(".",D95,1)+11,13)),MID(D95,FIND(",",D95,1)+11,13),MID(D95,FIND(".",D95,1)+11,13))),"",IF(ISERROR(MID(D95,FIND(".",D95,1)+11,13)),MID(D95,FIND(",",D95,1)+11,13),MID(D95,FIND(".",D95,1)+11,13)))</f>
        <v>0239</v>
      </c>
      <c r="E96" s="487"/>
      <c r="F96" s="405"/>
      <c r="G96" s="195"/>
      <c r="H96" s="405"/>
      <c r="I96" s="407"/>
      <c r="J96" s="195"/>
    </row>
    <row r="97" spans="1:10" s="189" customFormat="1">
      <c r="A97" s="188"/>
      <c r="B97" s="188"/>
      <c r="C97" s="188"/>
      <c r="D97" s="188"/>
      <c r="E97" s="402" t="str">
        <f>IF(OR(OsnPodaci!A10="",TEXT(OsnPodaci!D58,"dd.mm.yyyy.")=""),"",OsnPodaci!A10 &amp; ", " &amp;TEXT(OsnPodaci!D58,"dd.mm.yyyy."))</f>
        <v>Sarajevo-Novi Grad, 28.02.2023.</v>
      </c>
      <c r="F97" s="405"/>
      <c r="G97" s="403" t="str">
        <f>IF(OsnPodaci!A67="","",LEFT(OsnPodaci!A67,FIND(";",OsnPodaci!A67,1)-1))</f>
        <v>HADŽIALIĆ (AHMET) AZIRA</v>
      </c>
      <c r="H97" s="405"/>
      <c r="I97" s="407"/>
      <c r="J97" s="404" t="str">
        <f>IF(OR(OsnPodaci!A31="",OsnPodaci!B31=""),"",OsnPodaci!A31&amp;" "&amp;OsnPodaci!B31)</f>
        <v>Dženan Prevljak</v>
      </c>
    </row>
    <row r="98" spans="1:10" s="189" customFormat="1" ht="25.5">
      <c r="A98" s="188"/>
      <c r="B98" s="188"/>
      <c r="C98" s="188"/>
      <c r="D98" s="188"/>
      <c r="E98" s="488" t="s">
        <v>2205</v>
      </c>
      <c r="F98" s="405"/>
      <c r="G98" s="489" t="s">
        <v>2206</v>
      </c>
      <c r="H98" s="405"/>
      <c r="I98" s="195"/>
      <c r="J98" s="490" t="s">
        <v>2207</v>
      </c>
    </row>
    <row r="99" spans="1:10" s="189" customFormat="1">
      <c r="A99" s="188"/>
      <c r="B99" s="188"/>
      <c r="C99" s="188"/>
      <c r="D99" s="188"/>
      <c r="E99" s="402"/>
      <c r="F99" s="405"/>
      <c r="G99" s="195"/>
      <c r="H99" s="405"/>
      <c r="I99" s="195"/>
      <c r="J99" s="195"/>
    </row>
    <row r="100" spans="1:10" s="189" customFormat="1">
      <c r="A100" s="188"/>
      <c r="B100" s="188"/>
      <c r="C100" s="188"/>
      <c r="D100" s="188"/>
      <c r="E100" s="195"/>
      <c r="F100" s="405"/>
      <c r="G100" s="408" t="str">
        <f>IF(OsnPodaci!A67="","",MID(OsnPodaci!A67,FIND("licenca br.",OsnPodaci!A67,1)+11,15))</f>
        <v xml:space="preserve"> 4263/5</v>
      </c>
      <c r="H100" s="405"/>
      <c r="I100" s="407"/>
      <c r="J100" s="195"/>
    </row>
    <row r="101" spans="1:10" s="189" customFormat="1" ht="20.25" customHeight="1">
      <c r="A101" s="188"/>
      <c r="B101" s="188"/>
      <c r="C101" s="188"/>
      <c r="D101" s="188"/>
      <c r="E101" s="195"/>
      <c r="F101" s="195"/>
      <c r="G101" s="489" t="s">
        <v>2208</v>
      </c>
      <c r="H101" s="195"/>
      <c r="I101" s="409" t="s">
        <v>2209</v>
      </c>
      <c r="J101" s="195"/>
    </row>
    <row r="102" spans="1:10" s="189" customFormat="1" ht="20.25" customHeight="1">
      <c r="A102" s="188"/>
      <c r="B102" s="188"/>
      <c r="C102" s="188"/>
      <c r="D102" s="188"/>
      <c r="E102" s="487"/>
      <c r="F102" s="405"/>
      <c r="G102" s="405"/>
      <c r="H102" s="405"/>
      <c r="I102" s="407"/>
      <c r="J102" s="195"/>
    </row>
    <row r="103" spans="1:10">
      <c r="E103" s="487"/>
      <c r="F103" s="405"/>
      <c r="G103" s="405"/>
      <c r="H103" s="405"/>
      <c r="I103" s="407"/>
      <c r="J103" s="195"/>
    </row>
    <row r="104" spans="1:10">
      <c r="E104" s="487"/>
      <c r="F104" s="405"/>
      <c r="G104" s="405"/>
      <c r="H104" s="405"/>
      <c r="I104" s="407"/>
      <c r="J104" s="195"/>
    </row>
    <row r="107" spans="1:10" s="189" customFormat="1" ht="14.25" customHeight="1">
      <c r="A107" s="188"/>
      <c r="B107" s="188"/>
      <c r="C107" s="188"/>
      <c r="D107" s="188"/>
      <c r="E107" s="206"/>
      <c r="F107" s="199"/>
      <c r="G107" s="199"/>
      <c r="H107" s="199"/>
      <c r="I107" s="193"/>
    </row>
    <row r="116" spans="1:919" s="196" customFormat="1" ht="21.75" customHeight="1">
      <c r="A116" s="390"/>
      <c r="B116" s="390"/>
      <c r="C116" s="390"/>
      <c r="D116" s="390"/>
      <c r="E116" s="464" t="str">
        <f>E39</f>
        <v>Kontrolni broj: 1189520239</v>
      </c>
      <c r="F116" s="390"/>
      <c r="G116" s="463"/>
      <c r="H116" s="195"/>
      <c r="I116" s="195"/>
      <c r="J116" s="393" t="s">
        <v>2210</v>
      </c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5"/>
      <c r="ES116" s="195"/>
      <c r="ET116" s="195"/>
      <c r="EU116" s="195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5"/>
      <c r="FG116" s="195"/>
      <c r="FH116" s="195"/>
      <c r="FI116" s="195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5"/>
      <c r="FU116" s="195"/>
      <c r="FV116" s="195"/>
      <c r="FW116" s="195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5"/>
      <c r="GI116" s="195"/>
      <c r="GJ116" s="195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  <c r="PV116" s="195"/>
      <c r="PW116" s="195"/>
      <c r="PX116" s="195"/>
      <c r="PY116" s="195"/>
      <c r="PZ116" s="195"/>
      <c r="QA116" s="195"/>
      <c r="QB116" s="195"/>
      <c r="QC116" s="195"/>
      <c r="QD116" s="195"/>
      <c r="QE116" s="195"/>
      <c r="QF116" s="195"/>
      <c r="QG116" s="195"/>
      <c r="QH116" s="195"/>
      <c r="QI116" s="195"/>
      <c r="QJ116" s="195"/>
      <c r="QK116" s="195"/>
      <c r="QL116" s="195"/>
      <c r="QM116" s="195"/>
      <c r="QN116" s="195"/>
      <c r="QO116" s="195"/>
      <c r="QP116" s="195"/>
      <c r="QQ116" s="195"/>
      <c r="QR116" s="195"/>
      <c r="QS116" s="195"/>
      <c r="QT116" s="195"/>
      <c r="QU116" s="195"/>
      <c r="QV116" s="195"/>
      <c r="QW116" s="195"/>
      <c r="QX116" s="195"/>
      <c r="QY116" s="195"/>
      <c r="QZ116" s="195"/>
      <c r="RA116" s="195"/>
      <c r="RB116" s="195"/>
      <c r="RC116" s="195"/>
      <c r="RD116" s="195"/>
      <c r="RE116" s="195"/>
      <c r="RF116" s="195"/>
      <c r="RG116" s="195"/>
      <c r="RH116" s="195"/>
      <c r="RI116" s="195"/>
      <c r="RJ116" s="195"/>
      <c r="RK116" s="195"/>
      <c r="RL116" s="195"/>
      <c r="RM116" s="195"/>
      <c r="RN116" s="195"/>
      <c r="RO116" s="195"/>
      <c r="RP116" s="195"/>
      <c r="RQ116" s="195"/>
      <c r="RR116" s="195"/>
      <c r="RS116" s="195"/>
      <c r="RT116" s="195"/>
      <c r="RU116" s="195"/>
      <c r="RV116" s="195"/>
      <c r="RW116" s="195"/>
      <c r="RX116" s="195"/>
      <c r="RY116" s="195"/>
      <c r="RZ116" s="195"/>
      <c r="SA116" s="195"/>
      <c r="SB116" s="195"/>
      <c r="SC116" s="195"/>
      <c r="SD116" s="195"/>
      <c r="SE116" s="195"/>
      <c r="SF116" s="195"/>
      <c r="SG116" s="195"/>
      <c r="SH116" s="195"/>
      <c r="SI116" s="195"/>
      <c r="SJ116" s="195"/>
      <c r="SK116" s="195"/>
      <c r="SL116" s="195"/>
      <c r="SM116" s="195"/>
      <c r="SN116" s="195"/>
      <c r="SO116" s="195"/>
      <c r="SP116" s="195"/>
      <c r="SQ116" s="195"/>
      <c r="SR116" s="195"/>
      <c r="SS116" s="195"/>
      <c r="ST116" s="195"/>
      <c r="SU116" s="195"/>
      <c r="SV116" s="195"/>
      <c r="SW116" s="195"/>
      <c r="SX116" s="195"/>
      <c r="SY116" s="195"/>
      <c r="SZ116" s="195"/>
      <c r="TA116" s="195"/>
      <c r="TB116" s="195"/>
      <c r="TC116" s="195"/>
      <c r="TD116" s="195"/>
      <c r="TE116" s="195"/>
      <c r="TF116" s="195"/>
      <c r="TG116" s="195"/>
      <c r="TH116" s="195"/>
      <c r="TI116" s="195"/>
      <c r="TJ116" s="195"/>
      <c r="TK116" s="195"/>
      <c r="TL116" s="195"/>
      <c r="TM116" s="195"/>
      <c r="TN116" s="195"/>
      <c r="TO116" s="195"/>
      <c r="TP116" s="195"/>
      <c r="TQ116" s="195"/>
      <c r="TR116" s="195"/>
      <c r="TS116" s="195"/>
      <c r="TT116" s="195"/>
      <c r="TU116" s="195"/>
      <c r="TV116" s="195"/>
      <c r="TW116" s="195"/>
      <c r="TX116" s="195"/>
      <c r="TY116" s="195"/>
      <c r="TZ116" s="195"/>
      <c r="UA116" s="195"/>
      <c r="UB116" s="195"/>
      <c r="UC116" s="195"/>
      <c r="UD116" s="195"/>
      <c r="UE116" s="195"/>
      <c r="UF116" s="195"/>
      <c r="UG116" s="195"/>
      <c r="UH116" s="195"/>
      <c r="UI116" s="195"/>
      <c r="UJ116" s="195"/>
      <c r="UK116" s="195"/>
      <c r="UL116" s="195"/>
      <c r="UM116" s="195"/>
      <c r="UN116" s="195"/>
      <c r="UO116" s="195"/>
      <c r="UP116" s="195"/>
      <c r="UQ116" s="195"/>
      <c r="UR116" s="195"/>
      <c r="US116" s="195"/>
      <c r="UT116" s="195"/>
      <c r="UU116" s="195"/>
      <c r="UV116" s="195"/>
      <c r="UW116" s="195"/>
      <c r="UX116" s="195"/>
      <c r="UY116" s="195"/>
      <c r="UZ116" s="195"/>
      <c r="VA116" s="195"/>
      <c r="VB116" s="195"/>
      <c r="VC116" s="195"/>
      <c r="VD116" s="195"/>
      <c r="VE116" s="195"/>
      <c r="VF116" s="195"/>
      <c r="VG116" s="195"/>
      <c r="VH116" s="195"/>
      <c r="VI116" s="195"/>
      <c r="VJ116" s="195"/>
      <c r="VK116" s="195"/>
      <c r="VL116" s="195"/>
      <c r="VM116" s="195"/>
      <c r="VN116" s="195"/>
      <c r="VO116" s="195"/>
      <c r="VP116" s="195"/>
      <c r="VQ116" s="195"/>
      <c r="VR116" s="195"/>
      <c r="VS116" s="195"/>
      <c r="VT116" s="195"/>
      <c r="VU116" s="195"/>
      <c r="VV116" s="195"/>
      <c r="VW116" s="195"/>
      <c r="VX116" s="195"/>
      <c r="VY116" s="195"/>
      <c r="VZ116" s="195"/>
      <c r="WA116" s="195"/>
      <c r="WB116" s="195"/>
      <c r="WC116" s="195"/>
      <c r="WD116" s="195"/>
      <c r="WE116" s="195"/>
      <c r="WF116" s="195"/>
      <c r="WG116" s="195"/>
      <c r="WH116" s="195"/>
      <c r="WI116" s="195"/>
      <c r="WJ116" s="195"/>
      <c r="WK116" s="195"/>
      <c r="WL116" s="195"/>
      <c r="WM116" s="195"/>
      <c r="WN116" s="195"/>
      <c r="WO116" s="195"/>
      <c r="WP116" s="195"/>
      <c r="WQ116" s="195"/>
      <c r="WR116" s="195"/>
      <c r="WS116" s="195"/>
      <c r="WT116" s="195"/>
      <c r="WU116" s="195"/>
      <c r="WV116" s="195"/>
      <c r="WW116" s="195"/>
      <c r="WX116" s="195"/>
      <c r="WY116" s="195"/>
      <c r="WZ116" s="195"/>
      <c r="XA116" s="195"/>
      <c r="XB116" s="195"/>
      <c r="XC116" s="195"/>
      <c r="XD116" s="195"/>
      <c r="XE116" s="195"/>
      <c r="XF116" s="195"/>
      <c r="XG116" s="195"/>
      <c r="XH116" s="195"/>
      <c r="XI116" s="195"/>
      <c r="XJ116" s="195"/>
      <c r="XK116" s="195"/>
      <c r="XL116" s="195"/>
      <c r="XM116" s="195"/>
      <c r="XN116" s="195"/>
      <c r="XO116" s="195"/>
      <c r="XP116" s="195"/>
      <c r="XQ116" s="195"/>
      <c r="XR116" s="195"/>
      <c r="XS116" s="195"/>
      <c r="XT116" s="195"/>
      <c r="XU116" s="195"/>
      <c r="XV116" s="195"/>
      <c r="XW116" s="195"/>
      <c r="XX116" s="195"/>
      <c r="XY116" s="195"/>
      <c r="XZ116" s="195"/>
      <c r="YA116" s="195"/>
      <c r="YB116" s="195"/>
      <c r="YC116" s="195"/>
      <c r="YD116" s="195"/>
      <c r="YE116" s="195"/>
      <c r="YF116" s="195"/>
      <c r="YG116" s="195"/>
      <c r="YH116" s="195"/>
      <c r="YI116" s="195"/>
      <c r="YJ116" s="195"/>
      <c r="YK116" s="195"/>
      <c r="YL116" s="195"/>
      <c r="YM116" s="195"/>
      <c r="YN116" s="195"/>
      <c r="YO116" s="195"/>
      <c r="YP116" s="195"/>
      <c r="YQ116" s="195"/>
      <c r="YR116" s="195"/>
      <c r="YS116" s="195"/>
      <c r="YT116" s="195"/>
      <c r="YU116" s="195"/>
      <c r="YV116" s="195"/>
      <c r="YW116" s="195"/>
      <c r="YX116" s="195"/>
      <c r="YY116" s="195"/>
      <c r="YZ116" s="195"/>
      <c r="ZA116" s="195"/>
      <c r="ZB116" s="195"/>
      <c r="ZC116" s="195"/>
      <c r="ZD116" s="195"/>
      <c r="ZE116" s="195"/>
      <c r="ZF116" s="195"/>
      <c r="ZG116" s="195"/>
      <c r="ZH116" s="195"/>
      <c r="ZI116" s="195"/>
      <c r="ZJ116" s="195"/>
      <c r="ZK116" s="195"/>
      <c r="ZL116" s="195"/>
      <c r="ZM116" s="195"/>
      <c r="ZN116" s="195"/>
      <c r="ZO116" s="195"/>
      <c r="ZP116" s="195"/>
      <c r="ZQ116" s="195"/>
      <c r="ZR116" s="195"/>
      <c r="ZS116" s="195"/>
      <c r="ZT116" s="195"/>
      <c r="ZU116" s="195"/>
      <c r="ZV116" s="195"/>
      <c r="ZW116" s="195"/>
      <c r="ZX116" s="195"/>
      <c r="ZY116" s="195"/>
      <c r="ZZ116" s="195"/>
      <c r="AAA116" s="195"/>
      <c r="AAB116" s="195"/>
      <c r="AAC116" s="195"/>
      <c r="AAD116" s="195"/>
      <c r="AAE116" s="195"/>
      <c r="AAF116" s="195"/>
      <c r="AAG116" s="195"/>
      <c r="AAH116" s="195"/>
      <c r="AAI116" s="195"/>
      <c r="AAJ116" s="195"/>
      <c r="AAK116" s="195"/>
      <c r="AAL116" s="195"/>
      <c r="AAM116" s="195"/>
      <c r="AAN116" s="195"/>
      <c r="AAO116" s="195"/>
      <c r="AAP116" s="195"/>
      <c r="AAQ116" s="195"/>
      <c r="AAR116" s="195"/>
      <c r="AAS116" s="195"/>
      <c r="AAT116" s="195"/>
      <c r="AAU116" s="195"/>
      <c r="AAV116" s="195"/>
      <c r="AAW116" s="195"/>
      <c r="AAX116" s="195"/>
      <c r="AAY116" s="195"/>
      <c r="AAZ116" s="195"/>
      <c r="ABA116" s="195"/>
      <c r="ABB116" s="195"/>
      <c r="ABC116" s="195"/>
      <c r="ABD116" s="195"/>
      <c r="ABE116" s="195"/>
      <c r="ABF116" s="195"/>
      <c r="ABG116" s="195"/>
      <c r="ABH116" s="195"/>
      <c r="ABI116" s="195"/>
      <c r="ABJ116" s="195"/>
      <c r="ABK116" s="195"/>
      <c r="ABL116" s="195"/>
      <c r="ABM116" s="195"/>
      <c r="ABN116" s="195"/>
      <c r="ABO116" s="195"/>
      <c r="ABP116" s="195"/>
      <c r="ABQ116" s="195"/>
      <c r="ABR116" s="195"/>
      <c r="ABS116" s="195"/>
      <c r="ABT116" s="195"/>
      <c r="ABU116" s="195"/>
      <c r="ABV116" s="195"/>
      <c r="ABW116" s="195"/>
      <c r="ABX116" s="195"/>
      <c r="ABY116" s="195"/>
      <c r="ABZ116" s="195"/>
      <c r="ACA116" s="195"/>
      <c r="ACB116" s="195"/>
      <c r="ACC116" s="195"/>
      <c r="ACD116" s="195"/>
      <c r="ACE116" s="195"/>
      <c r="ACF116" s="195"/>
      <c r="ACG116" s="195"/>
      <c r="ACH116" s="195"/>
      <c r="ACI116" s="195"/>
      <c r="ACJ116" s="195"/>
      <c r="ACK116" s="195"/>
      <c r="ACL116" s="195"/>
      <c r="ACM116" s="195"/>
      <c r="ACN116" s="195"/>
      <c r="ACO116" s="195"/>
      <c r="ACP116" s="195"/>
      <c r="ACQ116" s="195"/>
      <c r="ACR116" s="195"/>
      <c r="ACS116" s="195"/>
      <c r="ACT116" s="195"/>
      <c r="ACU116" s="195"/>
      <c r="ACV116" s="195"/>
      <c r="ACW116" s="195"/>
      <c r="ACX116" s="195"/>
      <c r="ACY116" s="195"/>
      <c r="ACZ116" s="195"/>
      <c r="ADA116" s="195"/>
      <c r="ADB116" s="195"/>
      <c r="ADC116" s="195"/>
      <c r="ADD116" s="195"/>
      <c r="ADE116" s="195"/>
      <c r="ADF116" s="195"/>
      <c r="ADG116" s="195"/>
      <c r="ADH116" s="195"/>
      <c r="ADI116" s="195"/>
      <c r="ADJ116" s="195"/>
      <c r="ADK116" s="195"/>
      <c r="ADL116" s="195"/>
      <c r="ADM116" s="195"/>
      <c r="ADN116" s="195"/>
      <c r="ADO116" s="195"/>
      <c r="ADP116" s="195"/>
      <c r="ADQ116" s="195"/>
      <c r="ADR116" s="195"/>
      <c r="ADS116" s="195"/>
      <c r="ADT116" s="195"/>
      <c r="ADU116" s="195"/>
      <c r="ADV116" s="195"/>
      <c r="ADW116" s="195"/>
      <c r="ADX116" s="195"/>
      <c r="ADY116" s="195"/>
      <c r="ADZ116" s="195"/>
      <c r="AEA116" s="195"/>
      <c r="AEB116" s="195"/>
      <c r="AEC116" s="195"/>
      <c r="AED116" s="195"/>
      <c r="AEE116" s="195"/>
      <c r="AEF116" s="195"/>
      <c r="AEG116" s="195"/>
      <c r="AEH116" s="195"/>
      <c r="AEI116" s="195"/>
      <c r="AEJ116" s="195"/>
      <c r="AEK116" s="195"/>
      <c r="AEL116" s="195"/>
      <c r="AEM116" s="195"/>
      <c r="AEN116" s="195"/>
      <c r="AEO116" s="195"/>
      <c r="AEP116" s="195"/>
      <c r="AEQ116" s="195"/>
      <c r="AER116" s="195"/>
      <c r="AES116" s="195"/>
      <c r="AET116" s="195"/>
      <c r="AEU116" s="195"/>
      <c r="AEV116" s="195"/>
      <c r="AEW116" s="195"/>
      <c r="AEX116" s="195"/>
      <c r="AEY116" s="195"/>
      <c r="AEZ116" s="195"/>
      <c r="AFA116" s="195"/>
      <c r="AFB116" s="195"/>
      <c r="AFC116" s="195"/>
      <c r="AFD116" s="195"/>
      <c r="AFE116" s="195"/>
      <c r="AFF116" s="195"/>
      <c r="AFG116" s="195"/>
      <c r="AFH116" s="195"/>
      <c r="AFI116" s="195"/>
      <c r="AFJ116" s="195"/>
      <c r="AFK116" s="195"/>
      <c r="AFL116" s="195"/>
      <c r="AFM116" s="195"/>
      <c r="AFN116" s="195"/>
      <c r="AFO116" s="195"/>
      <c r="AFP116" s="195"/>
      <c r="AFQ116" s="195"/>
      <c r="AFR116" s="195"/>
      <c r="AFS116" s="195"/>
      <c r="AFT116" s="195"/>
      <c r="AFU116" s="195"/>
      <c r="AFV116" s="195"/>
      <c r="AFW116" s="195"/>
      <c r="AFX116" s="195"/>
      <c r="AFY116" s="195"/>
      <c r="AFZ116" s="195"/>
      <c r="AGA116" s="195"/>
      <c r="AGB116" s="195"/>
      <c r="AGC116" s="195"/>
      <c r="AGD116" s="195"/>
      <c r="AGE116" s="195"/>
      <c r="AGF116" s="195"/>
      <c r="AGG116" s="195"/>
      <c r="AGH116" s="195"/>
      <c r="AGI116" s="195"/>
      <c r="AGJ116" s="195"/>
      <c r="AGK116" s="195"/>
      <c r="AGL116" s="195"/>
      <c r="AGM116" s="195"/>
      <c r="AGN116" s="195"/>
      <c r="AGO116" s="195"/>
      <c r="AGP116" s="195"/>
      <c r="AGQ116" s="195"/>
      <c r="AGR116" s="195"/>
      <c r="AGS116" s="195"/>
      <c r="AGT116" s="195"/>
      <c r="AGU116" s="195"/>
      <c r="AGV116" s="195"/>
      <c r="AGW116" s="195"/>
      <c r="AGX116" s="195"/>
      <c r="AGY116" s="195"/>
      <c r="AGZ116" s="195"/>
      <c r="AHA116" s="195"/>
      <c r="AHB116" s="195"/>
      <c r="AHC116" s="195"/>
      <c r="AHD116" s="195"/>
      <c r="AHE116" s="195"/>
      <c r="AHF116" s="195"/>
      <c r="AHG116" s="195"/>
      <c r="AHH116" s="195"/>
      <c r="AHI116" s="195"/>
      <c r="AHJ116" s="195"/>
      <c r="AHK116" s="195"/>
      <c r="AHL116" s="195"/>
      <c r="AHM116" s="195"/>
      <c r="AHN116" s="195"/>
      <c r="AHO116" s="195"/>
      <c r="AHP116" s="195"/>
      <c r="AHQ116" s="195"/>
      <c r="AHR116" s="195"/>
      <c r="AHS116" s="195"/>
      <c r="AHT116" s="195"/>
      <c r="AHU116" s="195"/>
      <c r="AHV116" s="195"/>
      <c r="AHW116" s="195"/>
      <c r="AHX116" s="195"/>
      <c r="AHY116" s="195"/>
      <c r="AHZ116" s="195"/>
      <c r="AIA116" s="195"/>
      <c r="AIB116" s="195"/>
      <c r="AIC116" s="195"/>
      <c r="AID116" s="195"/>
      <c r="AIE116" s="195"/>
      <c r="AIF116" s="195"/>
      <c r="AIG116" s="195"/>
      <c r="AIH116" s="195"/>
      <c r="AII116" s="195"/>
    </row>
  </sheetData>
  <sheetProtection sheet="1" objects="1" scenarios="1"/>
  <mergeCells count="3">
    <mergeCell ref="E13:J13"/>
    <mergeCell ref="E14:J14"/>
    <mergeCell ref="E15:J15"/>
  </mergeCells>
  <phoneticPr fontId="81" type="noConversion"/>
  <conditionalFormatting sqref="E40">
    <cfRule type="containsText" dxfId="62" priority="19" operator="containsText" text="Obrazac prazan">
      <formula>NOT(ISERROR(SEARCH("Obrazac prazan",E40)))</formula>
    </cfRule>
  </conditionalFormatting>
  <conditionalFormatting sqref="J17">
    <cfRule type="containsText" dxfId="61" priority="18" operator="containsText" text="_____">
      <formula>NOT(ISERROR(SEARCH("_____",J17)))</formula>
    </cfRule>
  </conditionalFormatting>
  <conditionalFormatting sqref="E81:E82">
    <cfRule type="containsText" dxfId="60" priority="17" operator="containsText" text="Obrazac prazan">
      <formula>NOT(ISERROR(SEARCH("Obrazac prazan",E81)))</formula>
    </cfRule>
  </conditionalFormatting>
  <conditionalFormatting sqref="E39">
    <cfRule type="containsText" dxfId="59" priority="4" operator="containsText" text="Obrazac prazan">
      <formula>NOT(ISERROR(SEARCH("Obrazac prazan",E39)))</formula>
    </cfRule>
  </conditionalFormatting>
  <conditionalFormatting sqref="E80">
    <cfRule type="containsText" dxfId="58" priority="3" operator="containsText" text="Obrazac prazan">
      <formula>NOT(ISERROR(SEARCH("Obrazac prazan",E80)))</formula>
    </cfRule>
  </conditionalFormatting>
  <conditionalFormatting sqref="E116">
    <cfRule type="containsText" dxfId="57" priority="2" operator="containsText" text="Obrazac prazan">
      <formula>NOT(ISERROR(SEARCH("Obrazac prazan",E116)))</formula>
    </cfRule>
  </conditionalFormatting>
  <dataValidations count="1">
    <dataValidation type="whole" allowBlank="1" showInputMessage="1" showErrorMessage="1" sqref="I19:J36 I42:J71 I72:J79 I83:J93" xr:uid="{00000000-0002-0000-0500-000000000000}">
      <formula1>-9.99999E+307</formula1>
      <formula2>9.99999E+307</formula2>
    </dataValidation>
  </dataValidations>
  <pageMargins left="0.27559055118110198" right="0.27559055118110198" top="0.30740157480315" bottom="0.235590551181102" header="0" footer="0"/>
  <pageSetup paperSize="9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D622E38E-6A7E-4BAF-8C57-8D26A1ED1ECA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E13:J15 J16 F11:J12 F1:I10 F38 H38:J38 E109:J114 F97:G98 E96:F96 E102:J107 E99:F101 H96:J98 H99 G100:J101 E39:J95 E116:J116 E17:J37</xm:sqref>
        </x14:conditionalFormatting>
        <x14:conditionalFormatting xmlns:xm="http://schemas.microsoft.com/office/excel/2006/main">
          <x14:cfRule type="expression" priority="15" id="{378D9DFB-16B4-4C55-9D26-D9562AF99807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E1:E4</xm:sqref>
        </x14:conditionalFormatting>
        <x14:conditionalFormatting xmlns:xm="http://schemas.microsoft.com/office/excel/2006/main">
          <x14:cfRule type="expression" priority="14" id="{154CB456-52C5-4094-B58F-E0B12BB44B5D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</xm:sqref>
        </x14:conditionalFormatting>
        <x14:conditionalFormatting xmlns:xm="http://schemas.microsoft.com/office/excel/2006/main">
          <x14:cfRule type="expression" priority="13" id="{AD1D5F82-61DB-434D-8B04-AFA25619277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E8</xm:sqref>
        </x14:conditionalFormatting>
        <x14:conditionalFormatting xmlns:xm="http://schemas.microsoft.com/office/excel/2006/main">
          <x14:cfRule type="expression" priority="12" id="{88963EDF-6C31-4D30-B7B1-769D03738D99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E10</xm:sqref>
        </x14:conditionalFormatting>
        <x14:conditionalFormatting xmlns:xm="http://schemas.microsoft.com/office/excel/2006/main">
          <x14:cfRule type="expression" priority="11" id="{B95BE640-1C54-49D8-9549-D1486FD53C11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E12</xm:sqref>
        </x14:conditionalFormatting>
        <x14:conditionalFormatting xmlns:xm="http://schemas.microsoft.com/office/excel/2006/main">
          <x14:cfRule type="expression" priority="10" id="{55E0CCAF-DE59-480E-8A14-42A504D95963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E11</xm:sqref>
        </x14:conditionalFormatting>
        <x14:conditionalFormatting xmlns:xm="http://schemas.microsoft.com/office/excel/2006/main">
          <x14:cfRule type="expression" priority="9" id="{75CB4BC6-BD69-4C28-A6E8-CA63D9FB12C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E9</xm:sqref>
        </x14:conditionalFormatting>
        <x14:conditionalFormatting xmlns:xm="http://schemas.microsoft.com/office/excel/2006/main">
          <x14:cfRule type="expression" priority="8" id="{3ADCB1CA-9157-48D6-BD76-809403FFFE17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E5</xm:sqref>
        </x14:conditionalFormatting>
        <x14:conditionalFormatting xmlns:xm="http://schemas.microsoft.com/office/excel/2006/main">
          <x14:cfRule type="expression" priority="7" id="{6911792E-2CAE-4DD2-9DB2-26FBDC535A7B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</xm:sqref>
        </x14:conditionalFormatting>
        <x14:conditionalFormatting xmlns:xm="http://schemas.microsoft.com/office/excel/2006/main">
          <x14:cfRule type="expression" priority="6" id="{D9CE75C0-B736-4469-80B9-D3A29D3FF03F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J1:J10</xm:sqref>
        </x14:conditionalFormatting>
        <x14:conditionalFormatting xmlns:xm="http://schemas.microsoft.com/office/excel/2006/main">
          <x14:cfRule type="expression" priority="5" id="{93880E76-F26F-4AE8-8E9B-175276383577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E97:E98</xm:sqref>
        </x14:conditionalFormatting>
        <x14:conditionalFormatting xmlns:xm="http://schemas.microsoft.com/office/excel/2006/main">
          <x14:cfRule type="expression" priority="1" id="{94715868-99A7-446A-80A6-3598242B6137}">
            <xm:f>OR(LEFT(OsnPodaci!$A$55,5)="Reviz",LEFT(OsnPodaci!$A$55,6)="Izjava")</xm:f>
            <x14:dxf>
              <font>
                <color theme="0"/>
              </font>
            </x14:dxf>
          </x14:cfRule>
          <xm:sqref>E39 E80 E116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7" tint="-0.499984740745262"/>
  </sheetPr>
  <dimension ref="A1:AIJ83"/>
  <sheetViews>
    <sheetView showGridLines="0" view="pageLayout" topLeftCell="E19" zoomScale="120" zoomScaleNormal="100" zoomScalePageLayoutView="120" workbookViewId="0">
      <selection activeCell="J60" sqref="J60"/>
    </sheetView>
  </sheetViews>
  <sheetFormatPr defaultColWidth="7.5703125" defaultRowHeight="14.25"/>
  <cols>
    <col min="1" max="1" width="6.85546875" style="188" hidden="1" customWidth="1"/>
    <col min="2" max="2" width="10.5703125" style="188" hidden="1" customWidth="1"/>
    <col min="3" max="3" width="7.42578125" style="188" hidden="1" customWidth="1"/>
    <col min="4" max="4" width="12" style="188" hidden="1" customWidth="1"/>
    <col min="5" max="5" width="7.7109375" style="206" customWidth="1"/>
    <col min="6" max="6" width="72.42578125" style="199" customWidth="1"/>
    <col min="7" max="7" width="7.85546875" style="199" customWidth="1"/>
    <col min="8" max="8" width="8.42578125" style="199" customWidth="1"/>
    <col min="9" max="9" width="7.28515625" style="199" customWidth="1"/>
    <col min="10" max="10" width="18.5703125" style="193" customWidth="1"/>
    <col min="11" max="11" width="18.5703125" style="189" customWidth="1"/>
    <col min="12" max="920" width="7.5703125" style="189" customWidth="1"/>
    <col min="921" max="921" width="7.5703125" style="190" customWidth="1"/>
    <col min="922" max="16384" width="7.5703125" style="190"/>
  </cols>
  <sheetData>
    <row r="1" spans="1:920" s="179" customFormat="1" ht="15.75" customHeight="1">
      <c r="A1" s="177"/>
      <c r="B1" s="177"/>
      <c r="C1" s="177"/>
      <c r="D1" s="177"/>
      <c r="E1" s="366" t="str">
        <f>IF(OsnPodaci!B4="","",OsnPodaci!B4)</f>
        <v>ZIF " prevent INVEST " d.d.</v>
      </c>
      <c r="F1" s="528"/>
      <c r="G1" s="528"/>
      <c r="H1" s="528"/>
      <c r="I1" s="528"/>
      <c r="J1" s="530"/>
      <c r="K1" s="373" t="str">
        <f>IF(OsnPodaci!A4="","",OsnPodaci!A4)</f>
        <v>4200191740002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  <c r="AIJ1" s="178"/>
    </row>
    <row r="2" spans="1:920" s="183" customFormat="1" ht="15.75" customHeight="1">
      <c r="A2" s="180"/>
      <c r="B2" s="180"/>
      <c r="C2" s="180"/>
      <c r="D2" s="180"/>
      <c r="E2" s="387" t="s">
        <v>2077</v>
      </c>
      <c r="F2" s="529"/>
      <c r="G2" s="529"/>
      <c r="H2" s="529"/>
      <c r="I2" s="547"/>
      <c r="J2" s="531"/>
      <c r="K2" s="388" t="s">
        <v>2078</v>
      </c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  <c r="AIJ2" s="182"/>
    </row>
    <row r="3" spans="1:920" s="179" customFormat="1" ht="15.75" customHeight="1">
      <c r="A3" s="177"/>
      <c r="B3" s="177"/>
      <c r="C3" s="177"/>
      <c r="D3" s="177"/>
      <c r="E3" s="366" t="str">
        <f>IF(OR(OsnPodaci!A10="",OsnPodaci!A13=""),"",OsnPodaci!A10 &amp; ", " &amp; OsnPodaci!A13)</f>
        <v>Sarajevo-Novi Grad, Bulevar Meše Selimovića 16</v>
      </c>
      <c r="F3" s="528"/>
      <c r="G3" s="528"/>
      <c r="H3" s="528"/>
      <c r="I3" s="181"/>
      <c r="J3" s="530"/>
      <c r="K3" s="373" t="str">
        <f>IF(OsnPodaci!A19="","",OsnPodaci!A19)</f>
        <v>64.30</v>
      </c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8"/>
      <c r="JR3" s="178"/>
      <c r="JS3" s="178"/>
      <c r="JT3" s="178"/>
      <c r="JU3" s="178"/>
      <c r="JV3" s="178"/>
      <c r="JW3" s="178"/>
      <c r="JX3" s="178"/>
      <c r="JY3" s="178"/>
      <c r="JZ3" s="178"/>
      <c r="KA3" s="178"/>
      <c r="KB3" s="178"/>
      <c r="KC3" s="178"/>
      <c r="KD3" s="178"/>
      <c r="KE3" s="178"/>
      <c r="KF3" s="178"/>
      <c r="KG3" s="178"/>
      <c r="KH3" s="178"/>
      <c r="KI3" s="178"/>
      <c r="KJ3" s="178"/>
      <c r="KK3" s="178"/>
      <c r="KL3" s="178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178"/>
      <c r="KX3" s="178"/>
      <c r="KY3" s="178"/>
      <c r="KZ3" s="178"/>
      <c r="LA3" s="178"/>
      <c r="LB3" s="178"/>
      <c r="LC3" s="178"/>
      <c r="LD3" s="178"/>
      <c r="LE3" s="178"/>
      <c r="LF3" s="178"/>
      <c r="LG3" s="178"/>
      <c r="LH3" s="178"/>
      <c r="LI3" s="178"/>
      <c r="LJ3" s="178"/>
      <c r="LK3" s="178"/>
      <c r="LL3" s="178"/>
      <c r="LM3" s="178"/>
      <c r="LN3" s="178"/>
      <c r="LO3" s="178"/>
      <c r="LP3" s="178"/>
      <c r="LQ3" s="178"/>
      <c r="LR3" s="178"/>
      <c r="LS3" s="178"/>
      <c r="LT3" s="178"/>
      <c r="LU3" s="178"/>
      <c r="LV3" s="178"/>
      <c r="LW3" s="178"/>
      <c r="LX3" s="178"/>
      <c r="LY3" s="178"/>
      <c r="LZ3" s="178"/>
      <c r="MA3" s="178"/>
      <c r="MB3" s="178"/>
      <c r="MC3" s="178"/>
      <c r="MD3" s="178"/>
      <c r="ME3" s="178"/>
      <c r="MF3" s="178"/>
      <c r="MG3" s="178"/>
      <c r="MH3" s="178"/>
      <c r="MI3" s="178"/>
      <c r="MJ3" s="178"/>
      <c r="MK3" s="178"/>
      <c r="ML3" s="178"/>
      <c r="MM3" s="178"/>
      <c r="MN3" s="178"/>
      <c r="MO3" s="178"/>
      <c r="MP3" s="178"/>
      <c r="MQ3" s="178"/>
      <c r="MR3" s="178"/>
      <c r="MS3" s="178"/>
      <c r="MT3" s="178"/>
      <c r="MU3" s="178"/>
      <c r="MV3" s="178"/>
      <c r="MW3" s="178"/>
      <c r="MX3" s="178"/>
      <c r="MY3" s="178"/>
      <c r="MZ3" s="178"/>
      <c r="NA3" s="178"/>
      <c r="NB3" s="178"/>
      <c r="NC3" s="178"/>
      <c r="ND3" s="178"/>
      <c r="NE3" s="178"/>
      <c r="NF3" s="178"/>
      <c r="NG3" s="178"/>
      <c r="NH3" s="178"/>
      <c r="NI3" s="178"/>
      <c r="NJ3" s="178"/>
      <c r="NK3" s="178"/>
      <c r="NL3" s="178"/>
      <c r="NM3" s="178"/>
      <c r="NN3" s="178"/>
      <c r="NO3" s="178"/>
      <c r="NP3" s="178"/>
      <c r="NQ3" s="178"/>
      <c r="NR3" s="178"/>
      <c r="NS3" s="178"/>
      <c r="NT3" s="178"/>
      <c r="NU3" s="178"/>
      <c r="NV3" s="178"/>
      <c r="NW3" s="178"/>
      <c r="NX3" s="178"/>
      <c r="NY3" s="178"/>
      <c r="NZ3" s="178"/>
      <c r="OA3" s="178"/>
      <c r="OB3" s="178"/>
      <c r="OC3" s="178"/>
      <c r="OD3" s="178"/>
      <c r="OE3" s="178"/>
      <c r="OF3" s="178"/>
      <c r="OG3" s="178"/>
      <c r="OH3" s="178"/>
      <c r="OI3" s="178"/>
      <c r="OJ3" s="178"/>
      <c r="OK3" s="178"/>
      <c r="OL3" s="178"/>
      <c r="OM3" s="178"/>
      <c r="ON3" s="178"/>
      <c r="OO3" s="178"/>
      <c r="OP3" s="178"/>
      <c r="OQ3" s="178"/>
      <c r="OR3" s="178"/>
      <c r="OS3" s="178"/>
      <c r="OT3" s="178"/>
      <c r="OU3" s="178"/>
      <c r="OV3" s="178"/>
      <c r="OW3" s="178"/>
      <c r="OX3" s="178"/>
      <c r="OY3" s="178"/>
      <c r="OZ3" s="178"/>
      <c r="PA3" s="178"/>
      <c r="PB3" s="178"/>
      <c r="PC3" s="178"/>
      <c r="PD3" s="178"/>
      <c r="PE3" s="178"/>
      <c r="PF3" s="178"/>
      <c r="PG3" s="178"/>
      <c r="PH3" s="178"/>
      <c r="PI3" s="178"/>
      <c r="PJ3" s="178"/>
      <c r="PK3" s="178"/>
      <c r="PL3" s="178"/>
      <c r="PM3" s="178"/>
      <c r="PN3" s="178"/>
      <c r="PO3" s="178"/>
      <c r="PP3" s="178"/>
      <c r="PQ3" s="178"/>
      <c r="PR3" s="178"/>
      <c r="PS3" s="178"/>
      <c r="PT3" s="178"/>
      <c r="PU3" s="178"/>
      <c r="PV3" s="178"/>
      <c r="PW3" s="178"/>
      <c r="PX3" s="178"/>
      <c r="PY3" s="178"/>
      <c r="PZ3" s="178"/>
      <c r="QA3" s="178"/>
      <c r="QB3" s="178"/>
      <c r="QC3" s="178"/>
      <c r="QD3" s="178"/>
      <c r="QE3" s="178"/>
      <c r="QF3" s="178"/>
      <c r="QG3" s="178"/>
      <c r="QH3" s="178"/>
      <c r="QI3" s="178"/>
      <c r="QJ3" s="178"/>
      <c r="QK3" s="178"/>
      <c r="QL3" s="178"/>
      <c r="QM3" s="178"/>
      <c r="QN3" s="178"/>
      <c r="QO3" s="178"/>
      <c r="QP3" s="178"/>
      <c r="QQ3" s="178"/>
      <c r="QR3" s="178"/>
      <c r="QS3" s="178"/>
      <c r="QT3" s="178"/>
      <c r="QU3" s="178"/>
      <c r="QV3" s="178"/>
      <c r="QW3" s="178"/>
      <c r="QX3" s="178"/>
      <c r="QY3" s="178"/>
      <c r="QZ3" s="178"/>
      <c r="RA3" s="178"/>
      <c r="RB3" s="178"/>
      <c r="RC3" s="178"/>
      <c r="RD3" s="178"/>
      <c r="RE3" s="178"/>
      <c r="RF3" s="178"/>
      <c r="RG3" s="178"/>
      <c r="RH3" s="178"/>
      <c r="RI3" s="178"/>
      <c r="RJ3" s="178"/>
      <c r="RK3" s="178"/>
      <c r="RL3" s="178"/>
      <c r="RM3" s="178"/>
      <c r="RN3" s="178"/>
      <c r="RO3" s="178"/>
      <c r="RP3" s="178"/>
      <c r="RQ3" s="178"/>
      <c r="RR3" s="178"/>
      <c r="RS3" s="178"/>
      <c r="RT3" s="178"/>
      <c r="RU3" s="178"/>
      <c r="RV3" s="178"/>
      <c r="RW3" s="178"/>
      <c r="RX3" s="178"/>
      <c r="RY3" s="178"/>
      <c r="RZ3" s="178"/>
      <c r="SA3" s="178"/>
      <c r="SB3" s="178"/>
      <c r="SC3" s="178"/>
      <c r="SD3" s="178"/>
      <c r="SE3" s="178"/>
      <c r="SF3" s="178"/>
      <c r="SG3" s="178"/>
      <c r="SH3" s="178"/>
      <c r="SI3" s="178"/>
      <c r="SJ3" s="178"/>
      <c r="SK3" s="178"/>
      <c r="SL3" s="178"/>
      <c r="SM3" s="178"/>
      <c r="SN3" s="178"/>
      <c r="SO3" s="178"/>
      <c r="SP3" s="178"/>
      <c r="SQ3" s="178"/>
      <c r="SR3" s="178"/>
      <c r="SS3" s="178"/>
      <c r="ST3" s="178"/>
      <c r="SU3" s="178"/>
      <c r="SV3" s="178"/>
      <c r="SW3" s="178"/>
      <c r="SX3" s="178"/>
      <c r="SY3" s="178"/>
      <c r="SZ3" s="178"/>
      <c r="TA3" s="178"/>
      <c r="TB3" s="178"/>
      <c r="TC3" s="178"/>
      <c r="TD3" s="178"/>
      <c r="TE3" s="178"/>
      <c r="TF3" s="178"/>
      <c r="TG3" s="178"/>
      <c r="TH3" s="178"/>
      <c r="TI3" s="178"/>
      <c r="TJ3" s="178"/>
      <c r="TK3" s="178"/>
      <c r="TL3" s="178"/>
      <c r="TM3" s="178"/>
      <c r="TN3" s="178"/>
      <c r="TO3" s="178"/>
      <c r="TP3" s="178"/>
      <c r="TQ3" s="178"/>
      <c r="TR3" s="178"/>
      <c r="TS3" s="178"/>
      <c r="TT3" s="178"/>
      <c r="TU3" s="178"/>
      <c r="TV3" s="178"/>
      <c r="TW3" s="178"/>
      <c r="TX3" s="178"/>
      <c r="TY3" s="178"/>
      <c r="TZ3" s="178"/>
      <c r="UA3" s="178"/>
      <c r="UB3" s="178"/>
      <c r="UC3" s="178"/>
      <c r="UD3" s="178"/>
      <c r="UE3" s="178"/>
      <c r="UF3" s="178"/>
      <c r="UG3" s="178"/>
      <c r="UH3" s="178"/>
      <c r="UI3" s="178"/>
      <c r="UJ3" s="178"/>
      <c r="UK3" s="178"/>
      <c r="UL3" s="178"/>
      <c r="UM3" s="178"/>
      <c r="UN3" s="178"/>
      <c r="UO3" s="178"/>
      <c r="UP3" s="178"/>
      <c r="UQ3" s="178"/>
      <c r="UR3" s="178"/>
      <c r="US3" s="178"/>
      <c r="UT3" s="178"/>
      <c r="UU3" s="178"/>
      <c r="UV3" s="178"/>
      <c r="UW3" s="178"/>
      <c r="UX3" s="178"/>
      <c r="UY3" s="178"/>
      <c r="UZ3" s="178"/>
      <c r="VA3" s="178"/>
      <c r="VB3" s="178"/>
      <c r="VC3" s="178"/>
      <c r="VD3" s="178"/>
      <c r="VE3" s="178"/>
      <c r="VF3" s="178"/>
      <c r="VG3" s="178"/>
      <c r="VH3" s="178"/>
      <c r="VI3" s="178"/>
      <c r="VJ3" s="178"/>
      <c r="VK3" s="178"/>
      <c r="VL3" s="178"/>
      <c r="VM3" s="178"/>
      <c r="VN3" s="178"/>
      <c r="VO3" s="178"/>
      <c r="VP3" s="178"/>
      <c r="VQ3" s="178"/>
      <c r="VR3" s="178"/>
      <c r="VS3" s="178"/>
      <c r="VT3" s="178"/>
      <c r="VU3" s="178"/>
      <c r="VV3" s="178"/>
      <c r="VW3" s="178"/>
      <c r="VX3" s="178"/>
      <c r="VY3" s="178"/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8"/>
      <c r="WL3" s="178"/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8"/>
      <c r="XL3" s="178"/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8"/>
      <c r="YL3" s="178"/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8"/>
      <c r="ZL3" s="178"/>
      <c r="ZM3" s="178"/>
      <c r="ZN3" s="178"/>
      <c r="ZO3" s="178"/>
      <c r="ZP3" s="178"/>
      <c r="ZQ3" s="178"/>
      <c r="ZR3" s="178"/>
      <c r="ZS3" s="178"/>
      <c r="ZT3" s="178"/>
      <c r="ZU3" s="178"/>
      <c r="ZV3" s="178"/>
      <c r="ZW3" s="178"/>
      <c r="ZX3" s="178"/>
      <c r="ZY3" s="178"/>
      <c r="ZZ3" s="178"/>
      <c r="AAA3" s="178"/>
      <c r="AAB3" s="178"/>
      <c r="AAC3" s="178"/>
      <c r="AAD3" s="178"/>
      <c r="AAE3" s="178"/>
      <c r="AAF3" s="178"/>
      <c r="AAG3" s="178"/>
      <c r="AAH3" s="178"/>
      <c r="AAI3" s="178"/>
      <c r="AAJ3" s="178"/>
      <c r="AAK3" s="178"/>
      <c r="AAL3" s="178"/>
      <c r="AAM3" s="178"/>
      <c r="AAN3" s="178"/>
      <c r="AAO3" s="178"/>
      <c r="AAP3" s="178"/>
      <c r="AAQ3" s="178"/>
      <c r="AAR3" s="178"/>
      <c r="AAS3" s="178"/>
      <c r="AAT3" s="178"/>
      <c r="AAU3" s="178"/>
      <c r="AAV3" s="178"/>
      <c r="AAW3" s="178"/>
      <c r="AAX3" s="178"/>
      <c r="AAY3" s="178"/>
      <c r="AAZ3" s="178"/>
      <c r="ABA3" s="178"/>
      <c r="ABB3" s="178"/>
      <c r="ABC3" s="178"/>
      <c r="ABD3" s="178"/>
      <c r="ABE3" s="178"/>
      <c r="ABF3" s="178"/>
      <c r="ABG3" s="178"/>
      <c r="ABH3" s="178"/>
      <c r="ABI3" s="178"/>
      <c r="ABJ3" s="178"/>
      <c r="ABK3" s="178"/>
      <c r="ABL3" s="178"/>
      <c r="ABM3" s="178"/>
      <c r="ABN3" s="178"/>
      <c r="ABO3" s="178"/>
      <c r="ABP3" s="178"/>
      <c r="ABQ3" s="178"/>
      <c r="ABR3" s="178"/>
      <c r="ABS3" s="178"/>
      <c r="ABT3" s="178"/>
      <c r="ABU3" s="178"/>
      <c r="ABV3" s="178"/>
      <c r="ABW3" s="178"/>
      <c r="ABX3" s="178"/>
      <c r="ABY3" s="178"/>
      <c r="ABZ3" s="178"/>
      <c r="ACA3" s="178"/>
      <c r="ACB3" s="178"/>
      <c r="ACC3" s="178"/>
      <c r="ACD3" s="178"/>
      <c r="ACE3" s="178"/>
      <c r="ACF3" s="178"/>
      <c r="ACG3" s="178"/>
      <c r="ACH3" s="178"/>
      <c r="ACI3" s="178"/>
      <c r="ACJ3" s="178"/>
      <c r="ACK3" s="178"/>
      <c r="ACL3" s="178"/>
      <c r="ACM3" s="178"/>
      <c r="ACN3" s="178"/>
      <c r="ACO3" s="178"/>
      <c r="ACP3" s="178"/>
      <c r="ACQ3" s="178"/>
      <c r="ACR3" s="178"/>
      <c r="ACS3" s="178"/>
      <c r="ACT3" s="178"/>
      <c r="ACU3" s="178"/>
      <c r="ACV3" s="178"/>
      <c r="ACW3" s="178"/>
      <c r="ACX3" s="178"/>
      <c r="ACY3" s="178"/>
      <c r="ACZ3" s="178"/>
      <c r="ADA3" s="178"/>
      <c r="ADB3" s="178"/>
      <c r="ADC3" s="178"/>
      <c r="ADD3" s="178"/>
      <c r="ADE3" s="178"/>
      <c r="ADF3" s="178"/>
      <c r="ADG3" s="178"/>
      <c r="ADH3" s="178"/>
      <c r="ADI3" s="178"/>
      <c r="ADJ3" s="178"/>
      <c r="ADK3" s="178"/>
      <c r="ADL3" s="178"/>
      <c r="ADM3" s="178"/>
      <c r="ADN3" s="178"/>
      <c r="ADO3" s="178"/>
      <c r="ADP3" s="178"/>
      <c r="ADQ3" s="178"/>
      <c r="ADR3" s="178"/>
      <c r="ADS3" s="178"/>
      <c r="ADT3" s="178"/>
      <c r="ADU3" s="178"/>
      <c r="ADV3" s="178"/>
      <c r="ADW3" s="178"/>
      <c r="ADX3" s="178"/>
      <c r="ADY3" s="178"/>
      <c r="ADZ3" s="178"/>
      <c r="AEA3" s="178"/>
      <c r="AEB3" s="178"/>
      <c r="AEC3" s="178"/>
      <c r="AED3" s="178"/>
      <c r="AEE3" s="178"/>
      <c r="AEF3" s="178"/>
      <c r="AEG3" s="178"/>
      <c r="AEH3" s="178"/>
      <c r="AEI3" s="178"/>
      <c r="AEJ3" s="178"/>
      <c r="AEK3" s="178"/>
      <c r="AEL3" s="178"/>
      <c r="AEM3" s="178"/>
      <c r="AEN3" s="178"/>
      <c r="AEO3" s="178"/>
      <c r="AEP3" s="178"/>
      <c r="AEQ3" s="178"/>
      <c r="AER3" s="178"/>
      <c r="AES3" s="178"/>
      <c r="AET3" s="178"/>
      <c r="AEU3" s="178"/>
      <c r="AEV3" s="178"/>
      <c r="AEW3" s="178"/>
      <c r="AEX3" s="178"/>
      <c r="AEY3" s="178"/>
      <c r="AEZ3" s="178"/>
      <c r="AFA3" s="178"/>
      <c r="AFB3" s="178"/>
      <c r="AFC3" s="178"/>
      <c r="AFD3" s="178"/>
      <c r="AFE3" s="178"/>
      <c r="AFF3" s="178"/>
      <c r="AFG3" s="178"/>
      <c r="AFH3" s="178"/>
      <c r="AFI3" s="178"/>
      <c r="AFJ3" s="178"/>
      <c r="AFK3" s="178"/>
      <c r="AFL3" s="178"/>
      <c r="AFM3" s="178"/>
      <c r="AFN3" s="178"/>
      <c r="AFO3" s="178"/>
      <c r="AFP3" s="178"/>
      <c r="AFQ3" s="178"/>
      <c r="AFR3" s="178"/>
      <c r="AFS3" s="178"/>
      <c r="AFT3" s="178"/>
      <c r="AFU3" s="178"/>
      <c r="AFV3" s="178"/>
      <c r="AFW3" s="178"/>
      <c r="AFX3" s="178"/>
      <c r="AFY3" s="178"/>
      <c r="AFZ3" s="178"/>
      <c r="AGA3" s="178"/>
      <c r="AGB3" s="178"/>
      <c r="AGC3" s="178"/>
      <c r="AGD3" s="178"/>
      <c r="AGE3" s="178"/>
      <c r="AGF3" s="178"/>
      <c r="AGG3" s="178"/>
      <c r="AGH3" s="178"/>
      <c r="AGI3" s="178"/>
      <c r="AGJ3" s="178"/>
      <c r="AGK3" s="178"/>
      <c r="AGL3" s="178"/>
      <c r="AGM3" s="178"/>
      <c r="AGN3" s="178"/>
      <c r="AGO3" s="178"/>
      <c r="AGP3" s="178"/>
      <c r="AGQ3" s="178"/>
      <c r="AGR3" s="178"/>
      <c r="AGS3" s="178"/>
      <c r="AGT3" s="178"/>
      <c r="AGU3" s="178"/>
      <c r="AGV3" s="178"/>
      <c r="AGW3" s="178"/>
      <c r="AGX3" s="178"/>
      <c r="AGY3" s="178"/>
      <c r="AGZ3" s="178"/>
      <c r="AHA3" s="178"/>
      <c r="AHB3" s="178"/>
      <c r="AHC3" s="178"/>
      <c r="AHD3" s="178"/>
      <c r="AHE3" s="178"/>
      <c r="AHF3" s="178"/>
      <c r="AHG3" s="178"/>
      <c r="AHH3" s="178"/>
      <c r="AHI3" s="178"/>
      <c r="AHJ3" s="178"/>
      <c r="AHK3" s="178"/>
      <c r="AHL3" s="178"/>
      <c r="AHM3" s="178"/>
      <c r="AHN3" s="178"/>
      <c r="AHO3" s="178"/>
      <c r="AHP3" s="178"/>
      <c r="AHQ3" s="178"/>
      <c r="AHR3" s="178"/>
      <c r="AHS3" s="178"/>
      <c r="AHT3" s="178"/>
      <c r="AHU3" s="178"/>
      <c r="AHV3" s="178"/>
      <c r="AHW3" s="178"/>
      <c r="AHX3" s="178"/>
      <c r="AHY3" s="178"/>
      <c r="AHZ3" s="178"/>
      <c r="AIA3" s="178"/>
      <c r="AIB3" s="178"/>
      <c r="AIC3" s="178"/>
      <c r="AID3" s="178"/>
      <c r="AIE3" s="178"/>
      <c r="AIF3" s="178"/>
      <c r="AIG3" s="178"/>
      <c r="AIH3" s="178"/>
      <c r="AII3" s="178"/>
      <c r="AIJ3" s="178"/>
    </row>
    <row r="4" spans="1:920" s="183" customFormat="1" ht="15.75" customHeight="1">
      <c r="A4" s="180"/>
      <c r="B4" s="180"/>
      <c r="C4" s="180"/>
      <c r="D4" s="180"/>
      <c r="E4" s="387" t="s">
        <v>2079</v>
      </c>
      <c r="F4" s="529"/>
      <c r="G4" s="529"/>
      <c r="H4" s="529"/>
      <c r="I4" s="529"/>
      <c r="J4" s="531"/>
      <c r="K4" s="388" t="s">
        <v>1946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  <c r="IW4" s="182"/>
      <c r="IX4" s="182"/>
      <c r="IY4" s="182"/>
      <c r="IZ4" s="182"/>
      <c r="JA4" s="182"/>
      <c r="JB4" s="182"/>
      <c r="JC4" s="182"/>
      <c r="JD4" s="182"/>
      <c r="JE4" s="182"/>
      <c r="JF4" s="182"/>
      <c r="JG4" s="182"/>
      <c r="JH4" s="182"/>
      <c r="JI4" s="182"/>
      <c r="JJ4" s="182"/>
      <c r="JK4" s="182"/>
      <c r="JL4" s="182"/>
      <c r="JM4" s="182"/>
      <c r="JN4" s="182"/>
      <c r="JO4" s="182"/>
      <c r="JP4" s="182"/>
      <c r="JQ4" s="182"/>
      <c r="JR4" s="182"/>
      <c r="JS4" s="182"/>
      <c r="JT4" s="182"/>
      <c r="JU4" s="182"/>
      <c r="JV4" s="182"/>
      <c r="JW4" s="182"/>
      <c r="JX4" s="182"/>
      <c r="JY4" s="182"/>
      <c r="JZ4" s="182"/>
      <c r="KA4" s="182"/>
      <c r="KB4" s="182"/>
      <c r="KC4" s="182"/>
      <c r="KD4" s="182"/>
      <c r="KE4" s="182"/>
      <c r="KF4" s="182"/>
      <c r="KG4" s="182"/>
      <c r="KH4" s="182"/>
      <c r="KI4" s="182"/>
      <c r="KJ4" s="182"/>
      <c r="KK4" s="182"/>
      <c r="KL4" s="182"/>
      <c r="KM4" s="182"/>
      <c r="KN4" s="182"/>
      <c r="KO4" s="182"/>
      <c r="KP4" s="182"/>
      <c r="KQ4" s="182"/>
      <c r="KR4" s="182"/>
      <c r="KS4" s="182"/>
      <c r="KT4" s="182"/>
      <c r="KU4" s="182"/>
      <c r="KV4" s="182"/>
      <c r="KW4" s="182"/>
      <c r="KX4" s="182"/>
      <c r="KY4" s="182"/>
      <c r="KZ4" s="182"/>
      <c r="LA4" s="182"/>
      <c r="LB4" s="182"/>
      <c r="LC4" s="182"/>
      <c r="LD4" s="182"/>
      <c r="LE4" s="182"/>
      <c r="LF4" s="182"/>
      <c r="LG4" s="182"/>
      <c r="LH4" s="182"/>
      <c r="LI4" s="182"/>
      <c r="LJ4" s="182"/>
      <c r="LK4" s="182"/>
      <c r="LL4" s="182"/>
      <c r="LM4" s="182"/>
      <c r="LN4" s="182"/>
      <c r="LO4" s="182"/>
      <c r="LP4" s="182"/>
      <c r="LQ4" s="182"/>
      <c r="LR4" s="182"/>
      <c r="LS4" s="182"/>
      <c r="LT4" s="182"/>
      <c r="LU4" s="182"/>
      <c r="LV4" s="182"/>
      <c r="LW4" s="182"/>
      <c r="LX4" s="182"/>
      <c r="LY4" s="182"/>
      <c r="LZ4" s="182"/>
      <c r="MA4" s="182"/>
      <c r="MB4" s="182"/>
      <c r="MC4" s="182"/>
      <c r="MD4" s="182"/>
      <c r="ME4" s="182"/>
      <c r="MF4" s="182"/>
      <c r="MG4" s="182"/>
      <c r="MH4" s="182"/>
      <c r="MI4" s="182"/>
      <c r="MJ4" s="182"/>
      <c r="MK4" s="182"/>
      <c r="ML4" s="182"/>
      <c r="MM4" s="182"/>
      <c r="MN4" s="182"/>
      <c r="MO4" s="182"/>
      <c r="MP4" s="182"/>
      <c r="MQ4" s="182"/>
      <c r="MR4" s="182"/>
      <c r="MS4" s="182"/>
      <c r="MT4" s="182"/>
      <c r="MU4" s="182"/>
      <c r="MV4" s="182"/>
      <c r="MW4" s="182"/>
      <c r="MX4" s="182"/>
      <c r="MY4" s="182"/>
      <c r="MZ4" s="182"/>
      <c r="NA4" s="182"/>
      <c r="NB4" s="182"/>
      <c r="NC4" s="182"/>
      <c r="ND4" s="182"/>
      <c r="NE4" s="182"/>
      <c r="NF4" s="182"/>
      <c r="NG4" s="182"/>
      <c r="NH4" s="182"/>
      <c r="NI4" s="182"/>
      <c r="NJ4" s="182"/>
      <c r="NK4" s="182"/>
      <c r="NL4" s="182"/>
      <c r="NM4" s="182"/>
      <c r="NN4" s="182"/>
      <c r="NO4" s="182"/>
      <c r="NP4" s="182"/>
      <c r="NQ4" s="182"/>
      <c r="NR4" s="182"/>
      <c r="NS4" s="182"/>
      <c r="NT4" s="182"/>
      <c r="NU4" s="182"/>
      <c r="NV4" s="182"/>
      <c r="NW4" s="182"/>
      <c r="NX4" s="182"/>
      <c r="NY4" s="182"/>
      <c r="NZ4" s="182"/>
      <c r="OA4" s="182"/>
      <c r="OB4" s="182"/>
      <c r="OC4" s="182"/>
      <c r="OD4" s="182"/>
      <c r="OE4" s="182"/>
      <c r="OF4" s="182"/>
      <c r="OG4" s="182"/>
      <c r="OH4" s="182"/>
      <c r="OI4" s="182"/>
      <c r="OJ4" s="182"/>
      <c r="OK4" s="182"/>
      <c r="OL4" s="182"/>
      <c r="OM4" s="182"/>
      <c r="ON4" s="182"/>
      <c r="OO4" s="182"/>
      <c r="OP4" s="182"/>
      <c r="OQ4" s="182"/>
      <c r="OR4" s="182"/>
      <c r="OS4" s="182"/>
      <c r="OT4" s="182"/>
      <c r="OU4" s="182"/>
      <c r="OV4" s="182"/>
      <c r="OW4" s="182"/>
      <c r="OX4" s="182"/>
      <c r="OY4" s="182"/>
      <c r="OZ4" s="182"/>
      <c r="PA4" s="182"/>
      <c r="PB4" s="182"/>
      <c r="PC4" s="182"/>
      <c r="PD4" s="182"/>
      <c r="PE4" s="182"/>
      <c r="PF4" s="182"/>
      <c r="PG4" s="182"/>
      <c r="PH4" s="182"/>
      <c r="PI4" s="182"/>
      <c r="PJ4" s="182"/>
      <c r="PK4" s="182"/>
      <c r="PL4" s="182"/>
      <c r="PM4" s="182"/>
      <c r="PN4" s="182"/>
      <c r="PO4" s="182"/>
      <c r="PP4" s="182"/>
      <c r="PQ4" s="182"/>
      <c r="PR4" s="182"/>
      <c r="PS4" s="182"/>
      <c r="PT4" s="182"/>
      <c r="PU4" s="182"/>
      <c r="PV4" s="182"/>
      <c r="PW4" s="182"/>
      <c r="PX4" s="182"/>
      <c r="PY4" s="182"/>
      <c r="PZ4" s="182"/>
      <c r="QA4" s="182"/>
      <c r="QB4" s="182"/>
      <c r="QC4" s="182"/>
      <c r="QD4" s="182"/>
      <c r="QE4" s="182"/>
      <c r="QF4" s="182"/>
      <c r="QG4" s="182"/>
      <c r="QH4" s="182"/>
      <c r="QI4" s="182"/>
      <c r="QJ4" s="182"/>
      <c r="QK4" s="182"/>
      <c r="QL4" s="182"/>
      <c r="QM4" s="182"/>
      <c r="QN4" s="182"/>
      <c r="QO4" s="182"/>
      <c r="QP4" s="182"/>
      <c r="QQ4" s="182"/>
      <c r="QR4" s="182"/>
      <c r="QS4" s="182"/>
      <c r="QT4" s="182"/>
      <c r="QU4" s="182"/>
      <c r="QV4" s="182"/>
      <c r="QW4" s="182"/>
      <c r="QX4" s="182"/>
      <c r="QY4" s="182"/>
      <c r="QZ4" s="182"/>
      <c r="RA4" s="182"/>
      <c r="RB4" s="182"/>
      <c r="RC4" s="182"/>
      <c r="RD4" s="182"/>
      <c r="RE4" s="182"/>
      <c r="RF4" s="182"/>
      <c r="RG4" s="182"/>
      <c r="RH4" s="182"/>
      <c r="RI4" s="182"/>
      <c r="RJ4" s="182"/>
      <c r="RK4" s="182"/>
      <c r="RL4" s="182"/>
      <c r="RM4" s="182"/>
      <c r="RN4" s="182"/>
      <c r="RO4" s="182"/>
      <c r="RP4" s="182"/>
      <c r="RQ4" s="182"/>
      <c r="RR4" s="182"/>
      <c r="RS4" s="182"/>
      <c r="RT4" s="182"/>
      <c r="RU4" s="182"/>
      <c r="RV4" s="182"/>
      <c r="RW4" s="182"/>
      <c r="RX4" s="182"/>
      <c r="RY4" s="182"/>
      <c r="RZ4" s="182"/>
      <c r="SA4" s="182"/>
      <c r="SB4" s="182"/>
      <c r="SC4" s="182"/>
      <c r="SD4" s="182"/>
      <c r="SE4" s="182"/>
      <c r="SF4" s="182"/>
      <c r="SG4" s="182"/>
      <c r="SH4" s="182"/>
      <c r="SI4" s="182"/>
      <c r="SJ4" s="182"/>
      <c r="SK4" s="182"/>
      <c r="SL4" s="182"/>
      <c r="SM4" s="182"/>
      <c r="SN4" s="182"/>
      <c r="SO4" s="182"/>
      <c r="SP4" s="182"/>
      <c r="SQ4" s="182"/>
      <c r="SR4" s="182"/>
      <c r="SS4" s="182"/>
      <c r="ST4" s="182"/>
      <c r="SU4" s="182"/>
      <c r="SV4" s="182"/>
      <c r="SW4" s="182"/>
      <c r="SX4" s="182"/>
      <c r="SY4" s="182"/>
      <c r="SZ4" s="182"/>
      <c r="TA4" s="182"/>
      <c r="TB4" s="182"/>
      <c r="TC4" s="182"/>
      <c r="TD4" s="182"/>
      <c r="TE4" s="182"/>
      <c r="TF4" s="182"/>
      <c r="TG4" s="182"/>
      <c r="TH4" s="182"/>
      <c r="TI4" s="182"/>
      <c r="TJ4" s="182"/>
      <c r="TK4" s="182"/>
      <c r="TL4" s="182"/>
      <c r="TM4" s="182"/>
      <c r="TN4" s="182"/>
      <c r="TO4" s="182"/>
      <c r="TP4" s="182"/>
      <c r="TQ4" s="182"/>
      <c r="TR4" s="182"/>
      <c r="TS4" s="182"/>
      <c r="TT4" s="182"/>
      <c r="TU4" s="182"/>
      <c r="TV4" s="182"/>
      <c r="TW4" s="182"/>
      <c r="TX4" s="182"/>
      <c r="TY4" s="182"/>
      <c r="TZ4" s="182"/>
      <c r="UA4" s="182"/>
      <c r="UB4" s="182"/>
      <c r="UC4" s="182"/>
      <c r="UD4" s="182"/>
      <c r="UE4" s="182"/>
      <c r="UF4" s="182"/>
      <c r="UG4" s="182"/>
      <c r="UH4" s="182"/>
      <c r="UI4" s="182"/>
      <c r="UJ4" s="182"/>
      <c r="UK4" s="182"/>
      <c r="UL4" s="182"/>
      <c r="UM4" s="182"/>
      <c r="UN4" s="182"/>
      <c r="UO4" s="182"/>
      <c r="UP4" s="182"/>
      <c r="UQ4" s="182"/>
      <c r="UR4" s="182"/>
      <c r="US4" s="182"/>
      <c r="UT4" s="182"/>
      <c r="UU4" s="182"/>
      <c r="UV4" s="182"/>
      <c r="UW4" s="182"/>
      <c r="UX4" s="182"/>
      <c r="UY4" s="182"/>
      <c r="UZ4" s="182"/>
      <c r="VA4" s="182"/>
      <c r="VB4" s="182"/>
      <c r="VC4" s="182"/>
      <c r="VD4" s="182"/>
      <c r="VE4" s="182"/>
      <c r="VF4" s="182"/>
      <c r="VG4" s="182"/>
      <c r="VH4" s="182"/>
      <c r="VI4" s="182"/>
      <c r="VJ4" s="182"/>
      <c r="VK4" s="182"/>
      <c r="VL4" s="182"/>
      <c r="VM4" s="182"/>
      <c r="VN4" s="182"/>
      <c r="VO4" s="182"/>
      <c r="VP4" s="182"/>
      <c r="VQ4" s="182"/>
      <c r="VR4" s="182"/>
      <c r="VS4" s="182"/>
      <c r="VT4" s="182"/>
      <c r="VU4" s="182"/>
      <c r="VV4" s="182"/>
      <c r="VW4" s="182"/>
      <c r="VX4" s="182"/>
      <c r="VY4" s="182"/>
      <c r="VZ4" s="182"/>
      <c r="WA4" s="182"/>
      <c r="WB4" s="182"/>
      <c r="WC4" s="182"/>
      <c r="WD4" s="182"/>
      <c r="WE4" s="182"/>
      <c r="WF4" s="182"/>
      <c r="WG4" s="182"/>
      <c r="WH4" s="182"/>
      <c r="WI4" s="182"/>
      <c r="WJ4" s="182"/>
      <c r="WK4" s="182"/>
      <c r="WL4" s="182"/>
      <c r="WM4" s="182"/>
      <c r="WN4" s="182"/>
      <c r="WO4" s="182"/>
      <c r="WP4" s="182"/>
      <c r="WQ4" s="182"/>
      <c r="WR4" s="182"/>
      <c r="WS4" s="182"/>
      <c r="WT4" s="182"/>
      <c r="WU4" s="182"/>
      <c r="WV4" s="182"/>
      <c r="WW4" s="182"/>
      <c r="WX4" s="182"/>
      <c r="WY4" s="182"/>
      <c r="WZ4" s="182"/>
      <c r="XA4" s="182"/>
      <c r="XB4" s="182"/>
      <c r="XC4" s="182"/>
      <c r="XD4" s="182"/>
      <c r="XE4" s="182"/>
      <c r="XF4" s="182"/>
      <c r="XG4" s="182"/>
      <c r="XH4" s="182"/>
      <c r="XI4" s="182"/>
      <c r="XJ4" s="182"/>
      <c r="XK4" s="182"/>
      <c r="XL4" s="182"/>
      <c r="XM4" s="182"/>
      <c r="XN4" s="182"/>
      <c r="XO4" s="182"/>
      <c r="XP4" s="182"/>
      <c r="XQ4" s="182"/>
      <c r="XR4" s="182"/>
      <c r="XS4" s="182"/>
      <c r="XT4" s="182"/>
      <c r="XU4" s="182"/>
      <c r="XV4" s="182"/>
      <c r="XW4" s="182"/>
      <c r="XX4" s="182"/>
      <c r="XY4" s="182"/>
      <c r="XZ4" s="182"/>
      <c r="YA4" s="182"/>
      <c r="YB4" s="182"/>
      <c r="YC4" s="182"/>
      <c r="YD4" s="182"/>
      <c r="YE4" s="182"/>
      <c r="YF4" s="182"/>
      <c r="YG4" s="182"/>
      <c r="YH4" s="182"/>
      <c r="YI4" s="182"/>
      <c r="YJ4" s="182"/>
      <c r="YK4" s="182"/>
      <c r="YL4" s="182"/>
      <c r="YM4" s="182"/>
      <c r="YN4" s="182"/>
      <c r="YO4" s="182"/>
      <c r="YP4" s="182"/>
      <c r="YQ4" s="182"/>
      <c r="YR4" s="182"/>
      <c r="YS4" s="182"/>
      <c r="YT4" s="182"/>
      <c r="YU4" s="182"/>
      <c r="YV4" s="182"/>
      <c r="YW4" s="182"/>
      <c r="YX4" s="182"/>
      <c r="YY4" s="182"/>
      <c r="YZ4" s="182"/>
      <c r="ZA4" s="182"/>
      <c r="ZB4" s="182"/>
      <c r="ZC4" s="182"/>
      <c r="ZD4" s="182"/>
      <c r="ZE4" s="182"/>
      <c r="ZF4" s="182"/>
      <c r="ZG4" s="182"/>
      <c r="ZH4" s="182"/>
      <c r="ZI4" s="182"/>
      <c r="ZJ4" s="182"/>
      <c r="ZK4" s="182"/>
      <c r="ZL4" s="182"/>
      <c r="ZM4" s="182"/>
      <c r="ZN4" s="182"/>
      <c r="ZO4" s="182"/>
      <c r="ZP4" s="182"/>
      <c r="ZQ4" s="182"/>
      <c r="ZR4" s="182"/>
      <c r="ZS4" s="182"/>
      <c r="ZT4" s="182"/>
      <c r="ZU4" s="182"/>
      <c r="ZV4" s="182"/>
      <c r="ZW4" s="182"/>
      <c r="ZX4" s="182"/>
      <c r="ZY4" s="182"/>
      <c r="ZZ4" s="182"/>
      <c r="AAA4" s="182"/>
      <c r="AAB4" s="182"/>
      <c r="AAC4" s="182"/>
      <c r="AAD4" s="182"/>
      <c r="AAE4" s="182"/>
      <c r="AAF4" s="182"/>
      <c r="AAG4" s="182"/>
      <c r="AAH4" s="182"/>
      <c r="AAI4" s="182"/>
      <c r="AAJ4" s="182"/>
      <c r="AAK4" s="182"/>
      <c r="AAL4" s="182"/>
      <c r="AAM4" s="182"/>
      <c r="AAN4" s="182"/>
      <c r="AAO4" s="182"/>
      <c r="AAP4" s="182"/>
      <c r="AAQ4" s="182"/>
      <c r="AAR4" s="182"/>
      <c r="AAS4" s="182"/>
      <c r="AAT4" s="182"/>
      <c r="AAU4" s="182"/>
      <c r="AAV4" s="182"/>
      <c r="AAW4" s="182"/>
      <c r="AAX4" s="182"/>
      <c r="AAY4" s="182"/>
      <c r="AAZ4" s="182"/>
      <c r="ABA4" s="182"/>
      <c r="ABB4" s="182"/>
      <c r="ABC4" s="182"/>
      <c r="ABD4" s="182"/>
      <c r="ABE4" s="182"/>
      <c r="ABF4" s="182"/>
      <c r="ABG4" s="182"/>
      <c r="ABH4" s="182"/>
      <c r="ABI4" s="182"/>
      <c r="ABJ4" s="182"/>
      <c r="ABK4" s="182"/>
      <c r="ABL4" s="182"/>
      <c r="ABM4" s="182"/>
      <c r="ABN4" s="182"/>
      <c r="ABO4" s="182"/>
      <c r="ABP4" s="182"/>
      <c r="ABQ4" s="182"/>
      <c r="ABR4" s="182"/>
      <c r="ABS4" s="182"/>
      <c r="ABT4" s="182"/>
      <c r="ABU4" s="182"/>
      <c r="ABV4" s="182"/>
      <c r="ABW4" s="182"/>
      <c r="ABX4" s="182"/>
      <c r="ABY4" s="182"/>
      <c r="ABZ4" s="182"/>
      <c r="ACA4" s="182"/>
      <c r="ACB4" s="182"/>
      <c r="ACC4" s="182"/>
      <c r="ACD4" s="182"/>
      <c r="ACE4" s="182"/>
      <c r="ACF4" s="182"/>
      <c r="ACG4" s="182"/>
      <c r="ACH4" s="182"/>
      <c r="ACI4" s="182"/>
      <c r="ACJ4" s="182"/>
      <c r="ACK4" s="182"/>
      <c r="ACL4" s="182"/>
      <c r="ACM4" s="182"/>
      <c r="ACN4" s="182"/>
      <c r="ACO4" s="182"/>
      <c r="ACP4" s="182"/>
      <c r="ACQ4" s="182"/>
      <c r="ACR4" s="182"/>
      <c r="ACS4" s="182"/>
      <c r="ACT4" s="182"/>
      <c r="ACU4" s="182"/>
      <c r="ACV4" s="182"/>
      <c r="ACW4" s="182"/>
      <c r="ACX4" s="182"/>
      <c r="ACY4" s="182"/>
      <c r="ACZ4" s="182"/>
      <c r="ADA4" s="182"/>
      <c r="ADB4" s="182"/>
      <c r="ADC4" s="182"/>
      <c r="ADD4" s="182"/>
      <c r="ADE4" s="182"/>
      <c r="ADF4" s="182"/>
      <c r="ADG4" s="182"/>
      <c r="ADH4" s="182"/>
      <c r="ADI4" s="182"/>
      <c r="ADJ4" s="182"/>
      <c r="ADK4" s="182"/>
      <c r="ADL4" s="182"/>
      <c r="ADM4" s="182"/>
      <c r="ADN4" s="182"/>
      <c r="ADO4" s="182"/>
      <c r="ADP4" s="182"/>
      <c r="ADQ4" s="182"/>
      <c r="ADR4" s="182"/>
      <c r="ADS4" s="182"/>
      <c r="ADT4" s="182"/>
      <c r="ADU4" s="182"/>
      <c r="ADV4" s="182"/>
      <c r="ADW4" s="182"/>
      <c r="ADX4" s="182"/>
      <c r="ADY4" s="182"/>
      <c r="ADZ4" s="182"/>
      <c r="AEA4" s="182"/>
      <c r="AEB4" s="182"/>
      <c r="AEC4" s="182"/>
      <c r="AED4" s="182"/>
      <c r="AEE4" s="182"/>
      <c r="AEF4" s="182"/>
      <c r="AEG4" s="182"/>
      <c r="AEH4" s="182"/>
      <c r="AEI4" s="182"/>
      <c r="AEJ4" s="182"/>
      <c r="AEK4" s="182"/>
      <c r="AEL4" s="182"/>
      <c r="AEM4" s="182"/>
      <c r="AEN4" s="182"/>
      <c r="AEO4" s="182"/>
      <c r="AEP4" s="182"/>
      <c r="AEQ4" s="182"/>
      <c r="AER4" s="182"/>
      <c r="AES4" s="182"/>
      <c r="AET4" s="182"/>
      <c r="AEU4" s="182"/>
      <c r="AEV4" s="182"/>
      <c r="AEW4" s="182"/>
      <c r="AEX4" s="182"/>
      <c r="AEY4" s="182"/>
      <c r="AEZ4" s="182"/>
      <c r="AFA4" s="182"/>
      <c r="AFB4" s="182"/>
      <c r="AFC4" s="182"/>
      <c r="AFD4" s="182"/>
      <c r="AFE4" s="182"/>
      <c r="AFF4" s="182"/>
      <c r="AFG4" s="182"/>
      <c r="AFH4" s="182"/>
      <c r="AFI4" s="182"/>
      <c r="AFJ4" s="182"/>
      <c r="AFK4" s="182"/>
      <c r="AFL4" s="182"/>
      <c r="AFM4" s="182"/>
      <c r="AFN4" s="182"/>
      <c r="AFO4" s="182"/>
      <c r="AFP4" s="182"/>
      <c r="AFQ4" s="182"/>
      <c r="AFR4" s="182"/>
      <c r="AFS4" s="182"/>
      <c r="AFT4" s="182"/>
      <c r="AFU4" s="182"/>
      <c r="AFV4" s="182"/>
      <c r="AFW4" s="182"/>
      <c r="AFX4" s="182"/>
      <c r="AFY4" s="182"/>
      <c r="AFZ4" s="182"/>
      <c r="AGA4" s="182"/>
      <c r="AGB4" s="182"/>
      <c r="AGC4" s="182"/>
      <c r="AGD4" s="182"/>
      <c r="AGE4" s="182"/>
      <c r="AGF4" s="182"/>
      <c r="AGG4" s="182"/>
      <c r="AGH4" s="182"/>
      <c r="AGI4" s="182"/>
      <c r="AGJ4" s="182"/>
      <c r="AGK4" s="182"/>
      <c r="AGL4" s="182"/>
      <c r="AGM4" s="182"/>
      <c r="AGN4" s="182"/>
      <c r="AGO4" s="182"/>
      <c r="AGP4" s="182"/>
      <c r="AGQ4" s="182"/>
      <c r="AGR4" s="182"/>
      <c r="AGS4" s="182"/>
      <c r="AGT4" s="182"/>
      <c r="AGU4" s="182"/>
      <c r="AGV4" s="182"/>
      <c r="AGW4" s="182"/>
      <c r="AGX4" s="182"/>
      <c r="AGY4" s="182"/>
      <c r="AGZ4" s="182"/>
      <c r="AHA4" s="182"/>
      <c r="AHB4" s="182"/>
      <c r="AHC4" s="182"/>
      <c r="AHD4" s="182"/>
      <c r="AHE4" s="182"/>
      <c r="AHF4" s="182"/>
      <c r="AHG4" s="182"/>
      <c r="AHH4" s="182"/>
      <c r="AHI4" s="182"/>
      <c r="AHJ4" s="182"/>
      <c r="AHK4" s="182"/>
      <c r="AHL4" s="182"/>
      <c r="AHM4" s="182"/>
      <c r="AHN4" s="182"/>
      <c r="AHO4" s="182"/>
      <c r="AHP4" s="182"/>
      <c r="AHQ4" s="182"/>
      <c r="AHR4" s="182"/>
      <c r="AHS4" s="182"/>
      <c r="AHT4" s="182"/>
      <c r="AHU4" s="182"/>
      <c r="AHV4" s="182"/>
      <c r="AHW4" s="182"/>
      <c r="AHX4" s="182"/>
      <c r="AHY4" s="182"/>
      <c r="AHZ4" s="182"/>
      <c r="AIA4" s="182"/>
      <c r="AIB4" s="182"/>
      <c r="AIC4" s="182"/>
      <c r="AID4" s="182"/>
      <c r="AIE4" s="182"/>
      <c r="AIF4" s="182"/>
      <c r="AIG4" s="182"/>
      <c r="AIH4" s="182"/>
      <c r="AII4" s="182"/>
      <c r="AIJ4" s="182"/>
    </row>
    <row r="5" spans="1:920" s="179" customFormat="1" ht="15.75" customHeight="1">
      <c r="A5" s="177"/>
      <c r="B5" s="177"/>
      <c r="C5" s="177"/>
      <c r="D5" s="177"/>
      <c r="E5" s="366" t="str">
        <f>IF(OsnPodaci!B27="","",OsnPodaci!B27)</f>
        <v>DUF "Blago" d.o.o.</v>
      </c>
      <c r="F5" s="528"/>
      <c r="J5" s="530"/>
      <c r="K5" s="373" t="str">
        <f>IF('#UNOS'!B12="","",'#UNOS'!B12)</f>
        <v>108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  <c r="AIJ5" s="178"/>
    </row>
    <row r="6" spans="1:920" s="183" customFormat="1" ht="15.75" customHeight="1">
      <c r="A6" s="180"/>
      <c r="B6" s="180"/>
      <c r="C6" s="180"/>
      <c r="D6" s="180"/>
      <c r="E6" s="387" t="s">
        <v>1934</v>
      </c>
      <c r="F6" s="185"/>
      <c r="J6" s="531"/>
      <c r="K6" s="388" t="s">
        <v>12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2"/>
      <c r="NA6" s="182"/>
      <c r="NB6" s="182"/>
      <c r="NC6" s="182"/>
      <c r="ND6" s="182"/>
      <c r="NE6" s="182"/>
      <c r="NF6" s="182"/>
      <c r="NG6" s="182"/>
      <c r="NH6" s="182"/>
      <c r="NI6" s="182"/>
      <c r="NJ6" s="182"/>
      <c r="NK6" s="182"/>
      <c r="NL6" s="182"/>
      <c r="NM6" s="182"/>
      <c r="NN6" s="182"/>
      <c r="NO6" s="182"/>
      <c r="NP6" s="182"/>
      <c r="NQ6" s="182"/>
      <c r="NR6" s="182"/>
      <c r="NS6" s="182"/>
      <c r="NT6" s="182"/>
      <c r="NU6" s="182"/>
      <c r="NV6" s="182"/>
      <c r="NW6" s="182"/>
      <c r="NX6" s="182"/>
      <c r="NY6" s="182"/>
      <c r="NZ6" s="182"/>
      <c r="OA6" s="182"/>
      <c r="OB6" s="182"/>
      <c r="OC6" s="182"/>
      <c r="OD6" s="182"/>
      <c r="OE6" s="182"/>
      <c r="OF6" s="182"/>
      <c r="OG6" s="182"/>
      <c r="OH6" s="182"/>
      <c r="OI6" s="182"/>
      <c r="OJ6" s="182"/>
      <c r="OK6" s="182"/>
      <c r="OL6" s="182"/>
      <c r="OM6" s="182"/>
      <c r="ON6" s="182"/>
      <c r="OO6" s="182"/>
      <c r="OP6" s="182"/>
      <c r="OQ6" s="182"/>
      <c r="OR6" s="182"/>
      <c r="OS6" s="182"/>
      <c r="OT6" s="182"/>
      <c r="OU6" s="182"/>
      <c r="OV6" s="182"/>
      <c r="OW6" s="182"/>
      <c r="OX6" s="182"/>
      <c r="OY6" s="182"/>
      <c r="OZ6" s="182"/>
      <c r="PA6" s="182"/>
      <c r="PB6" s="182"/>
      <c r="PC6" s="182"/>
      <c r="PD6" s="182"/>
      <c r="PE6" s="182"/>
      <c r="PF6" s="182"/>
      <c r="PG6" s="182"/>
      <c r="PH6" s="182"/>
      <c r="PI6" s="182"/>
      <c r="PJ6" s="182"/>
      <c r="PK6" s="182"/>
      <c r="PL6" s="182"/>
      <c r="PM6" s="182"/>
      <c r="PN6" s="182"/>
      <c r="PO6" s="182"/>
      <c r="PP6" s="182"/>
      <c r="PQ6" s="182"/>
      <c r="PR6" s="182"/>
      <c r="PS6" s="182"/>
      <c r="PT6" s="182"/>
      <c r="PU6" s="182"/>
      <c r="PV6" s="182"/>
      <c r="PW6" s="182"/>
      <c r="PX6" s="182"/>
      <c r="PY6" s="182"/>
      <c r="PZ6" s="182"/>
      <c r="QA6" s="182"/>
      <c r="QB6" s="182"/>
      <c r="QC6" s="182"/>
      <c r="QD6" s="182"/>
      <c r="QE6" s="182"/>
      <c r="QF6" s="182"/>
      <c r="QG6" s="182"/>
      <c r="QH6" s="182"/>
      <c r="QI6" s="182"/>
      <c r="QJ6" s="182"/>
      <c r="QK6" s="182"/>
      <c r="QL6" s="182"/>
      <c r="QM6" s="182"/>
      <c r="QN6" s="182"/>
      <c r="QO6" s="182"/>
      <c r="QP6" s="182"/>
      <c r="QQ6" s="182"/>
      <c r="QR6" s="182"/>
      <c r="QS6" s="182"/>
      <c r="QT6" s="182"/>
      <c r="QU6" s="182"/>
      <c r="QV6" s="182"/>
      <c r="QW6" s="182"/>
      <c r="QX6" s="182"/>
      <c r="QY6" s="182"/>
      <c r="QZ6" s="182"/>
      <c r="RA6" s="182"/>
      <c r="RB6" s="182"/>
      <c r="RC6" s="182"/>
      <c r="RD6" s="182"/>
      <c r="RE6" s="182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182"/>
      <c r="SN6" s="182"/>
      <c r="SO6" s="182"/>
      <c r="SP6" s="182"/>
      <c r="SQ6" s="182"/>
      <c r="SR6" s="182"/>
      <c r="SS6" s="182"/>
      <c r="ST6" s="182"/>
      <c r="SU6" s="182"/>
      <c r="SV6" s="182"/>
      <c r="SW6" s="182"/>
      <c r="SX6" s="182"/>
      <c r="SY6" s="182"/>
      <c r="SZ6" s="182"/>
      <c r="TA6" s="182"/>
      <c r="TB6" s="182"/>
      <c r="TC6" s="182"/>
      <c r="TD6" s="182"/>
      <c r="TE6" s="182"/>
      <c r="TF6" s="182"/>
      <c r="TG6" s="182"/>
      <c r="TH6" s="182"/>
      <c r="TI6" s="182"/>
      <c r="TJ6" s="182"/>
      <c r="TK6" s="182"/>
      <c r="TL6" s="182"/>
      <c r="TM6" s="182"/>
      <c r="TN6" s="182"/>
      <c r="TO6" s="182"/>
      <c r="TP6" s="182"/>
      <c r="TQ6" s="182"/>
      <c r="TR6" s="182"/>
      <c r="TS6" s="182"/>
      <c r="TT6" s="182"/>
      <c r="TU6" s="182"/>
      <c r="TV6" s="182"/>
      <c r="TW6" s="182"/>
      <c r="TX6" s="182"/>
      <c r="TY6" s="182"/>
      <c r="TZ6" s="182"/>
      <c r="UA6" s="182"/>
      <c r="UB6" s="182"/>
      <c r="UC6" s="182"/>
      <c r="UD6" s="182"/>
      <c r="UE6" s="182"/>
      <c r="UF6" s="182"/>
      <c r="UG6" s="182"/>
      <c r="UH6" s="182"/>
      <c r="UI6" s="182"/>
      <c r="UJ6" s="182"/>
      <c r="UK6" s="182"/>
      <c r="UL6" s="182"/>
      <c r="UM6" s="182"/>
      <c r="UN6" s="182"/>
      <c r="UO6" s="182"/>
      <c r="UP6" s="182"/>
      <c r="UQ6" s="182"/>
      <c r="UR6" s="182"/>
      <c r="US6" s="182"/>
      <c r="UT6" s="182"/>
      <c r="UU6" s="182"/>
      <c r="UV6" s="182"/>
      <c r="UW6" s="182"/>
      <c r="UX6" s="182"/>
      <c r="UY6" s="182"/>
      <c r="UZ6" s="182"/>
      <c r="VA6" s="182"/>
      <c r="VB6" s="182"/>
      <c r="VC6" s="182"/>
      <c r="VD6" s="182"/>
      <c r="VE6" s="182"/>
      <c r="VF6" s="182"/>
      <c r="VG6" s="182"/>
      <c r="VH6" s="182"/>
      <c r="VI6" s="182"/>
      <c r="VJ6" s="182"/>
      <c r="VK6" s="182"/>
      <c r="VL6" s="182"/>
      <c r="VM6" s="182"/>
      <c r="VN6" s="182"/>
      <c r="VO6" s="182"/>
      <c r="VP6" s="182"/>
      <c r="VQ6" s="182"/>
      <c r="VR6" s="182"/>
      <c r="VS6" s="182"/>
      <c r="VT6" s="182"/>
      <c r="VU6" s="182"/>
      <c r="VV6" s="182"/>
      <c r="VW6" s="182"/>
      <c r="VX6" s="182"/>
      <c r="VY6" s="182"/>
      <c r="VZ6" s="182"/>
      <c r="WA6" s="182"/>
      <c r="WB6" s="182"/>
      <c r="WC6" s="182"/>
      <c r="WD6" s="182"/>
      <c r="WE6" s="182"/>
      <c r="WF6" s="182"/>
      <c r="WG6" s="182"/>
      <c r="WH6" s="182"/>
      <c r="WI6" s="182"/>
      <c r="WJ6" s="182"/>
      <c r="WK6" s="182"/>
      <c r="WL6" s="182"/>
      <c r="WM6" s="182"/>
      <c r="WN6" s="182"/>
      <c r="WO6" s="182"/>
      <c r="WP6" s="182"/>
      <c r="WQ6" s="182"/>
      <c r="WR6" s="182"/>
      <c r="WS6" s="182"/>
      <c r="WT6" s="182"/>
      <c r="WU6" s="182"/>
      <c r="WV6" s="182"/>
      <c r="WW6" s="182"/>
      <c r="WX6" s="182"/>
      <c r="WY6" s="182"/>
      <c r="WZ6" s="182"/>
      <c r="XA6" s="182"/>
      <c r="XB6" s="182"/>
      <c r="XC6" s="182"/>
      <c r="XD6" s="182"/>
      <c r="XE6" s="182"/>
      <c r="XF6" s="182"/>
      <c r="XG6" s="182"/>
      <c r="XH6" s="182"/>
      <c r="XI6" s="182"/>
      <c r="XJ6" s="182"/>
      <c r="XK6" s="182"/>
      <c r="XL6" s="182"/>
      <c r="XM6" s="182"/>
      <c r="XN6" s="182"/>
      <c r="XO6" s="182"/>
      <c r="XP6" s="182"/>
      <c r="XQ6" s="182"/>
      <c r="XR6" s="182"/>
      <c r="XS6" s="182"/>
      <c r="XT6" s="182"/>
      <c r="XU6" s="182"/>
      <c r="XV6" s="182"/>
      <c r="XW6" s="182"/>
      <c r="XX6" s="182"/>
      <c r="XY6" s="182"/>
      <c r="XZ6" s="182"/>
      <c r="YA6" s="182"/>
      <c r="YB6" s="182"/>
      <c r="YC6" s="182"/>
      <c r="YD6" s="182"/>
      <c r="YE6" s="182"/>
      <c r="YF6" s="182"/>
      <c r="YG6" s="182"/>
      <c r="YH6" s="182"/>
      <c r="YI6" s="182"/>
      <c r="YJ6" s="182"/>
      <c r="YK6" s="182"/>
      <c r="YL6" s="182"/>
      <c r="YM6" s="182"/>
      <c r="YN6" s="182"/>
      <c r="YO6" s="182"/>
      <c r="YP6" s="182"/>
      <c r="YQ6" s="182"/>
      <c r="YR6" s="182"/>
      <c r="YS6" s="182"/>
      <c r="YT6" s="182"/>
      <c r="YU6" s="182"/>
      <c r="YV6" s="182"/>
      <c r="YW6" s="182"/>
      <c r="YX6" s="182"/>
      <c r="YY6" s="182"/>
      <c r="YZ6" s="182"/>
      <c r="ZA6" s="182"/>
      <c r="ZB6" s="182"/>
      <c r="ZC6" s="182"/>
      <c r="ZD6" s="182"/>
      <c r="ZE6" s="182"/>
      <c r="ZF6" s="182"/>
      <c r="ZG6" s="182"/>
      <c r="ZH6" s="182"/>
      <c r="ZI6" s="182"/>
      <c r="ZJ6" s="182"/>
      <c r="ZK6" s="182"/>
      <c r="ZL6" s="182"/>
      <c r="ZM6" s="182"/>
      <c r="ZN6" s="182"/>
      <c r="ZO6" s="182"/>
      <c r="ZP6" s="182"/>
      <c r="ZQ6" s="182"/>
      <c r="ZR6" s="182"/>
      <c r="ZS6" s="182"/>
      <c r="ZT6" s="182"/>
      <c r="ZU6" s="182"/>
      <c r="ZV6" s="182"/>
      <c r="ZW6" s="182"/>
      <c r="ZX6" s="182"/>
      <c r="ZY6" s="182"/>
      <c r="ZZ6" s="182"/>
      <c r="AAA6" s="182"/>
      <c r="AAB6" s="182"/>
      <c r="AAC6" s="182"/>
      <c r="AAD6" s="182"/>
      <c r="AAE6" s="182"/>
      <c r="AAF6" s="182"/>
      <c r="AAG6" s="182"/>
      <c r="AAH6" s="182"/>
      <c r="AAI6" s="182"/>
      <c r="AAJ6" s="182"/>
      <c r="AAK6" s="182"/>
      <c r="AAL6" s="182"/>
      <c r="AAM6" s="182"/>
      <c r="AAN6" s="182"/>
      <c r="AAO6" s="182"/>
      <c r="AAP6" s="182"/>
      <c r="AAQ6" s="182"/>
      <c r="AAR6" s="182"/>
      <c r="AAS6" s="182"/>
      <c r="AAT6" s="182"/>
      <c r="AAU6" s="182"/>
      <c r="AAV6" s="182"/>
      <c r="AAW6" s="182"/>
      <c r="AAX6" s="182"/>
      <c r="AAY6" s="182"/>
      <c r="AAZ6" s="182"/>
      <c r="ABA6" s="182"/>
      <c r="ABB6" s="182"/>
      <c r="ABC6" s="182"/>
      <c r="ABD6" s="182"/>
      <c r="ABE6" s="182"/>
      <c r="ABF6" s="182"/>
      <c r="ABG6" s="182"/>
      <c r="ABH6" s="182"/>
      <c r="ABI6" s="182"/>
      <c r="ABJ6" s="182"/>
      <c r="ABK6" s="182"/>
      <c r="ABL6" s="182"/>
      <c r="ABM6" s="182"/>
      <c r="ABN6" s="182"/>
      <c r="ABO6" s="182"/>
      <c r="ABP6" s="182"/>
      <c r="ABQ6" s="182"/>
      <c r="ABR6" s="182"/>
      <c r="ABS6" s="182"/>
      <c r="ABT6" s="182"/>
      <c r="ABU6" s="182"/>
      <c r="ABV6" s="182"/>
      <c r="ABW6" s="182"/>
      <c r="ABX6" s="182"/>
      <c r="ABY6" s="182"/>
      <c r="ABZ6" s="182"/>
      <c r="ACA6" s="182"/>
      <c r="ACB6" s="182"/>
      <c r="ACC6" s="182"/>
      <c r="ACD6" s="182"/>
      <c r="ACE6" s="182"/>
      <c r="ACF6" s="182"/>
      <c r="ACG6" s="182"/>
      <c r="ACH6" s="182"/>
      <c r="ACI6" s="182"/>
      <c r="ACJ6" s="182"/>
      <c r="ACK6" s="182"/>
      <c r="ACL6" s="182"/>
      <c r="ACM6" s="182"/>
      <c r="ACN6" s="182"/>
      <c r="ACO6" s="182"/>
      <c r="ACP6" s="182"/>
      <c r="ACQ6" s="182"/>
      <c r="ACR6" s="182"/>
      <c r="ACS6" s="182"/>
      <c r="ACT6" s="182"/>
      <c r="ACU6" s="182"/>
      <c r="ACV6" s="182"/>
      <c r="ACW6" s="182"/>
      <c r="ACX6" s="182"/>
      <c r="ACY6" s="182"/>
      <c r="ACZ6" s="182"/>
      <c r="ADA6" s="182"/>
      <c r="ADB6" s="182"/>
      <c r="ADC6" s="182"/>
      <c r="ADD6" s="182"/>
      <c r="ADE6" s="182"/>
      <c r="ADF6" s="182"/>
      <c r="ADG6" s="182"/>
      <c r="ADH6" s="182"/>
      <c r="ADI6" s="182"/>
      <c r="ADJ6" s="182"/>
      <c r="ADK6" s="182"/>
      <c r="ADL6" s="182"/>
      <c r="ADM6" s="182"/>
      <c r="ADN6" s="182"/>
      <c r="ADO6" s="182"/>
      <c r="ADP6" s="182"/>
      <c r="ADQ6" s="182"/>
      <c r="ADR6" s="182"/>
      <c r="ADS6" s="182"/>
      <c r="ADT6" s="182"/>
      <c r="ADU6" s="182"/>
      <c r="ADV6" s="182"/>
      <c r="ADW6" s="182"/>
      <c r="ADX6" s="182"/>
      <c r="ADY6" s="182"/>
      <c r="ADZ6" s="182"/>
      <c r="AEA6" s="182"/>
      <c r="AEB6" s="182"/>
      <c r="AEC6" s="182"/>
      <c r="AED6" s="182"/>
      <c r="AEE6" s="182"/>
      <c r="AEF6" s="182"/>
      <c r="AEG6" s="182"/>
      <c r="AEH6" s="182"/>
      <c r="AEI6" s="182"/>
      <c r="AEJ6" s="182"/>
      <c r="AEK6" s="182"/>
      <c r="AEL6" s="182"/>
      <c r="AEM6" s="182"/>
      <c r="AEN6" s="182"/>
      <c r="AEO6" s="182"/>
      <c r="AEP6" s="182"/>
      <c r="AEQ6" s="182"/>
      <c r="AER6" s="182"/>
      <c r="AES6" s="182"/>
      <c r="AET6" s="182"/>
      <c r="AEU6" s="182"/>
      <c r="AEV6" s="182"/>
      <c r="AEW6" s="182"/>
      <c r="AEX6" s="182"/>
      <c r="AEY6" s="182"/>
      <c r="AEZ6" s="182"/>
      <c r="AFA6" s="182"/>
      <c r="AFB6" s="182"/>
      <c r="AFC6" s="182"/>
      <c r="AFD6" s="182"/>
      <c r="AFE6" s="182"/>
      <c r="AFF6" s="182"/>
      <c r="AFG6" s="182"/>
      <c r="AFH6" s="182"/>
      <c r="AFI6" s="182"/>
      <c r="AFJ6" s="182"/>
      <c r="AFK6" s="182"/>
      <c r="AFL6" s="182"/>
      <c r="AFM6" s="182"/>
      <c r="AFN6" s="182"/>
      <c r="AFO6" s="182"/>
      <c r="AFP6" s="182"/>
      <c r="AFQ6" s="182"/>
      <c r="AFR6" s="182"/>
      <c r="AFS6" s="182"/>
      <c r="AFT6" s="182"/>
      <c r="AFU6" s="182"/>
      <c r="AFV6" s="182"/>
      <c r="AFW6" s="182"/>
      <c r="AFX6" s="182"/>
      <c r="AFY6" s="182"/>
      <c r="AFZ6" s="182"/>
      <c r="AGA6" s="182"/>
      <c r="AGB6" s="182"/>
      <c r="AGC6" s="182"/>
      <c r="AGD6" s="182"/>
      <c r="AGE6" s="182"/>
      <c r="AGF6" s="182"/>
      <c r="AGG6" s="182"/>
      <c r="AGH6" s="182"/>
      <c r="AGI6" s="182"/>
      <c r="AGJ6" s="182"/>
      <c r="AGK6" s="182"/>
      <c r="AGL6" s="182"/>
      <c r="AGM6" s="182"/>
      <c r="AGN6" s="182"/>
      <c r="AGO6" s="182"/>
      <c r="AGP6" s="182"/>
      <c r="AGQ6" s="182"/>
      <c r="AGR6" s="182"/>
      <c r="AGS6" s="182"/>
      <c r="AGT6" s="182"/>
      <c r="AGU6" s="182"/>
      <c r="AGV6" s="182"/>
      <c r="AGW6" s="182"/>
      <c r="AGX6" s="182"/>
      <c r="AGY6" s="182"/>
      <c r="AGZ6" s="182"/>
      <c r="AHA6" s="182"/>
      <c r="AHB6" s="182"/>
      <c r="AHC6" s="182"/>
      <c r="AHD6" s="182"/>
      <c r="AHE6" s="182"/>
      <c r="AHF6" s="182"/>
      <c r="AHG6" s="182"/>
      <c r="AHH6" s="182"/>
      <c r="AHI6" s="182"/>
      <c r="AHJ6" s="182"/>
      <c r="AHK6" s="182"/>
      <c r="AHL6" s="182"/>
      <c r="AHM6" s="182"/>
      <c r="AHN6" s="182"/>
      <c r="AHO6" s="182"/>
      <c r="AHP6" s="182"/>
      <c r="AHQ6" s="182"/>
      <c r="AHR6" s="182"/>
      <c r="AHS6" s="182"/>
      <c r="AHT6" s="182"/>
      <c r="AHU6" s="182"/>
      <c r="AHV6" s="182"/>
      <c r="AHW6" s="182"/>
      <c r="AHX6" s="182"/>
      <c r="AHY6" s="182"/>
      <c r="AHZ6" s="182"/>
      <c r="AIA6" s="182"/>
      <c r="AIB6" s="182"/>
      <c r="AIC6" s="182"/>
      <c r="AID6" s="182"/>
      <c r="AIE6" s="182"/>
      <c r="AIF6" s="182"/>
      <c r="AIG6" s="182"/>
      <c r="AIH6" s="182"/>
      <c r="AII6" s="182"/>
      <c r="AIJ6" s="182"/>
    </row>
    <row r="7" spans="1:920" s="183" customFormat="1" ht="15.75" customHeight="1">
      <c r="A7" s="180"/>
      <c r="B7" s="180"/>
      <c r="C7" s="180"/>
      <c r="D7" s="180"/>
      <c r="E7" s="366" t="str">
        <f>IF(OR(OsnPodaci!A27="",OsnPodaci!E27=""),"",CONCATENATE(OsnPodaci!E27, "; ", OsnPodaci!A27))</f>
        <v>65-01-0034-11; 4200052540007</v>
      </c>
      <c r="F7" s="185"/>
      <c r="J7" s="531"/>
      <c r="K7" s="373" t="str">
        <f>IF(OsnPodaci!B23="","",OsnPodaci!B23)</f>
        <v>Raiffeisen Bank d.d. BiH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/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/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/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/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/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182"/>
      <c r="PR7" s="182"/>
      <c r="PS7" s="182"/>
      <c r="PT7" s="182"/>
      <c r="PU7" s="182"/>
      <c r="PV7" s="182"/>
      <c r="PW7" s="182"/>
      <c r="PX7" s="182"/>
      <c r="PY7" s="182"/>
      <c r="PZ7" s="182"/>
      <c r="QA7" s="182"/>
      <c r="QB7" s="182"/>
      <c r="QC7" s="182"/>
      <c r="QD7" s="182"/>
      <c r="QE7" s="182"/>
      <c r="QF7" s="182"/>
      <c r="QG7" s="182"/>
      <c r="QH7" s="182"/>
      <c r="QI7" s="182"/>
      <c r="QJ7" s="182"/>
      <c r="QK7" s="182"/>
      <c r="QL7" s="182"/>
      <c r="QM7" s="182"/>
      <c r="QN7" s="182"/>
      <c r="QO7" s="182"/>
      <c r="QP7" s="182"/>
      <c r="QQ7" s="182"/>
      <c r="QR7" s="182"/>
      <c r="QS7" s="182"/>
      <c r="QT7" s="182"/>
      <c r="QU7" s="182"/>
      <c r="QV7" s="182"/>
      <c r="QW7" s="182"/>
      <c r="QX7" s="182"/>
      <c r="QY7" s="182"/>
      <c r="QZ7" s="182"/>
      <c r="RA7" s="182"/>
      <c r="RB7" s="182"/>
      <c r="RC7" s="182"/>
      <c r="RD7" s="182"/>
      <c r="RE7" s="182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182"/>
      <c r="SN7" s="182"/>
      <c r="SO7" s="182"/>
      <c r="SP7" s="182"/>
      <c r="SQ7" s="182"/>
      <c r="SR7" s="182"/>
      <c r="SS7" s="182"/>
      <c r="ST7" s="182"/>
      <c r="SU7" s="182"/>
      <c r="SV7" s="182"/>
      <c r="SW7" s="182"/>
      <c r="SX7" s="182"/>
      <c r="SY7" s="182"/>
      <c r="SZ7" s="182"/>
      <c r="TA7" s="182"/>
      <c r="TB7" s="182"/>
      <c r="TC7" s="182"/>
      <c r="TD7" s="182"/>
      <c r="TE7" s="182"/>
      <c r="TF7" s="182"/>
      <c r="TG7" s="182"/>
      <c r="TH7" s="182"/>
      <c r="TI7" s="182"/>
      <c r="TJ7" s="182"/>
      <c r="TK7" s="182"/>
      <c r="TL7" s="182"/>
      <c r="TM7" s="182"/>
      <c r="TN7" s="182"/>
      <c r="TO7" s="182"/>
      <c r="TP7" s="182"/>
      <c r="TQ7" s="182"/>
      <c r="TR7" s="182"/>
      <c r="TS7" s="182"/>
      <c r="TT7" s="182"/>
      <c r="TU7" s="182"/>
      <c r="TV7" s="182"/>
      <c r="TW7" s="182"/>
      <c r="TX7" s="182"/>
      <c r="TY7" s="182"/>
      <c r="TZ7" s="182"/>
      <c r="UA7" s="182"/>
      <c r="UB7" s="182"/>
      <c r="UC7" s="182"/>
      <c r="UD7" s="182"/>
      <c r="UE7" s="182"/>
      <c r="UF7" s="182"/>
      <c r="UG7" s="182"/>
      <c r="UH7" s="182"/>
      <c r="UI7" s="182"/>
      <c r="UJ7" s="182"/>
      <c r="UK7" s="182"/>
      <c r="UL7" s="182"/>
      <c r="UM7" s="182"/>
      <c r="UN7" s="182"/>
      <c r="UO7" s="182"/>
      <c r="UP7" s="182"/>
      <c r="UQ7" s="182"/>
      <c r="UR7" s="182"/>
      <c r="US7" s="182"/>
      <c r="UT7" s="182"/>
      <c r="UU7" s="182"/>
      <c r="UV7" s="182"/>
      <c r="UW7" s="182"/>
      <c r="UX7" s="182"/>
      <c r="UY7" s="182"/>
      <c r="UZ7" s="182"/>
      <c r="VA7" s="182"/>
      <c r="VB7" s="182"/>
      <c r="VC7" s="182"/>
      <c r="VD7" s="182"/>
      <c r="VE7" s="182"/>
      <c r="VF7" s="182"/>
      <c r="VG7" s="182"/>
      <c r="VH7" s="182"/>
      <c r="VI7" s="182"/>
      <c r="VJ7" s="182"/>
      <c r="VK7" s="182"/>
      <c r="VL7" s="182"/>
      <c r="VM7" s="182"/>
      <c r="VN7" s="182"/>
      <c r="VO7" s="182"/>
      <c r="VP7" s="182"/>
      <c r="VQ7" s="182"/>
      <c r="VR7" s="182"/>
      <c r="VS7" s="182"/>
      <c r="VT7" s="182"/>
      <c r="VU7" s="182"/>
      <c r="VV7" s="182"/>
      <c r="VW7" s="182"/>
      <c r="VX7" s="182"/>
      <c r="VY7" s="182"/>
      <c r="VZ7" s="182"/>
      <c r="WA7" s="182"/>
      <c r="WB7" s="182"/>
      <c r="WC7" s="182"/>
      <c r="WD7" s="182"/>
      <c r="WE7" s="182"/>
      <c r="WF7" s="182"/>
      <c r="WG7" s="182"/>
      <c r="WH7" s="182"/>
      <c r="WI7" s="182"/>
      <c r="WJ7" s="182"/>
      <c r="WK7" s="182"/>
      <c r="WL7" s="182"/>
      <c r="WM7" s="182"/>
      <c r="WN7" s="182"/>
      <c r="WO7" s="182"/>
      <c r="WP7" s="182"/>
      <c r="WQ7" s="182"/>
      <c r="WR7" s="182"/>
      <c r="WS7" s="182"/>
      <c r="WT7" s="182"/>
      <c r="WU7" s="182"/>
      <c r="WV7" s="182"/>
      <c r="WW7" s="182"/>
      <c r="WX7" s="182"/>
      <c r="WY7" s="182"/>
      <c r="WZ7" s="182"/>
      <c r="XA7" s="182"/>
      <c r="XB7" s="182"/>
      <c r="XC7" s="182"/>
      <c r="XD7" s="182"/>
      <c r="XE7" s="182"/>
      <c r="XF7" s="182"/>
      <c r="XG7" s="182"/>
      <c r="XH7" s="182"/>
      <c r="XI7" s="182"/>
      <c r="XJ7" s="182"/>
      <c r="XK7" s="182"/>
      <c r="XL7" s="182"/>
      <c r="XM7" s="182"/>
      <c r="XN7" s="182"/>
      <c r="XO7" s="182"/>
      <c r="XP7" s="182"/>
      <c r="XQ7" s="182"/>
      <c r="XR7" s="182"/>
      <c r="XS7" s="182"/>
      <c r="XT7" s="182"/>
      <c r="XU7" s="182"/>
      <c r="XV7" s="182"/>
      <c r="XW7" s="182"/>
      <c r="XX7" s="182"/>
      <c r="XY7" s="182"/>
      <c r="XZ7" s="182"/>
      <c r="YA7" s="182"/>
      <c r="YB7" s="182"/>
      <c r="YC7" s="182"/>
      <c r="YD7" s="182"/>
      <c r="YE7" s="182"/>
      <c r="YF7" s="182"/>
      <c r="YG7" s="182"/>
      <c r="YH7" s="182"/>
      <c r="YI7" s="182"/>
      <c r="YJ7" s="182"/>
      <c r="YK7" s="182"/>
      <c r="YL7" s="182"/>
      <c r="YM7" s="182"/>
      <c r="YN7" s="182"/>
      <c r="YO7" s="182"/>
      <c r="YP7" s="182"/>
      <c r="YQ7" s="182"/>
      <c r="YR7" s="182"/>
      <c r="YS7" s="182"/>
      <c r="YT7" s="182"/>
      <c r="YU7" s="182"/>
      <c r="YV7" s="182"/>
      <c r="YW7" s="182"/>
      <c r="YX7" s="182"/>
      <c r="YY7" s="182"/>
      <c r="YZ7" s="182"/>
      <c r="ZA7" s="182"/>
      <c r="ZB7" s="182"/>
      <c r="ZC7" s="182"/>
      <c r="ZD7" s="182"/>
      <c r="ZE7" s="182"/>
      <c r="ZF7" s="182"/>
      <c r="ZG7" s="182"/>
      <c r="ZH7" s="182"/>
      <c r="ZI7" s="182"/>
      <c r="ZJ7" s="182"/>
      <c r="ZK7" s="182"/>
      <c r="ZL7" s="182"/>
      <c r="ZM7" s="182"/>
      <c r="ZN7" s="182"/>
      <c r="ZO7" s="182"/>
      <c r="ZP7" s="182"/>
      <c r="ZQ7" s="182"/>
      <c r="ZR7" s="182"/>
      <c r="ZS7" s="182"/>
      <c r="ZT7" s="182"/>
      <c r="ZU7" s="182"/>
      <c r="ZV7" s="182"/>
      <c r="ZW7" s="182"/>
      <c r="ZX7" s="182"/>
      <c r="ZY7" s="182"/>
      <c r="ZZ7" s="182"/>
      <c r="AAA7" s="182"/>
      <c r="AAB7" s="182"/>
      <c r="AAC7" s="182"/>
      <c r="AAD7" s="182"/>
      <c r="AAE7" s="182"/>
      <c r="AAF7" s="182"/>
      <c r="AAG7" s="182"/>
      <c r="AAH7" s="182"/>
      <c r="AAI7" s="182"/>
      <c r="AAJ7" s="182"/>
      <c r="AAK7" s="182"/>
      <c r="AAL7" s="182"/>
      <c r="AAM7" s="182"/>
      <c r="AAN7" s="182"/>
      <c r="AAO7" s="182"/>
      <c r="AAP7" s="182"/>
      <c r="AAQ7" s="182"/>
      <c r="AAR7" s="182"/>
      <c r="AAS7" s="182"/>
      <c r="AAT7" s="182"/>
      <c r="AAU7" s="182"/>
      <c r="AAV7" s="182"/>
      <c r="AAW7" s="182"/>
      <c r="AAX7" s="182"/>
      <c r="AAY7" s="182"/>
      <c r="AAZ7" s="182"/>
      <c r="ABA7" s="182"/>
      <c r="ABB7" s="182"/>
      <c r="ABC7" s="182"/>
      <c r="ABD7" s="182"/>
      <c r="ABE7" s="182"/>
      <c r="ABF7" s="182"/>
      <c r="ABG7" s="182"/>
      <c r="ABH7" s="182"/>
      <c r="ABI7" s="182"/>
      <c r="ABJ7" s="182"/>
      <c r="ABK7" s="182"/>
      <c r="ABL7" s="182"/>
      <c r="ABM7" s="182"/>
      <c r="ABN7" s="182"/>
      <c r="ABO7" s="182"/>
      <c r="ABP7" s="182"/>
      <c r="ABQ7" s="182"/>
      <c r="ABR7" s="182"/>
      <c r="ABS7" s="182"/>
      <c r="ABT7" s="182"/>
      <c r="ABU7" s="182"/>
      <c r="ABV7" s="182"/>
      <c r="ABW7" s="182"/>
      <c r="ABX7" s="182"/>
      <c r="ABY7" s="182"/>
      <c r="ABZ7" s="182"/>
      <c r="ACA7" s="182"/>
      <c r="ACB7" s="182"/>
      <c r="ACC7" s="182"/>
      <c r="ACD7" s="182"/>
      <c r="ACE7" s="182"/>
      <c r="ACF7" s="182"/>
      <c r="ACG7" s="182"/>
      <c r="ACH7" s="182"/>
      <c r="ACI7" s="182"/>
      <c r="ACJ7" s="182"/>
      <c r="ACK7" s="182"/>
      <c r="ACL7" s="182"/>
      <c r="ACM7" s="182"/>
      <c r="ACN7" s="182"/>
      <c r="ACO7" s="182"/>
      <c r="ACP7" s="182"/>
      <c r="ACQ7" s="182"/>
      <c r="ACR7" s="182"/>
      <c r="ACS7" s="182"/>
      <c r="ACT7" s="182"/>
      <c r="ACU7" s="182"/>
      <c r="ACV7" s="182"/>
      <c r="ACW7" s="182"/>
      <c r="ACX7" s="182"/>
      <c r="ACY7" s="182"/>
      <c r="ACZ7" s="182"/>
      <c r="ADA7" s="182"/>
      <c r="ADB7" s="182"/>
      <c r="ADC7" s="182"/>
      <c r="ADD7" s="182"/>
      <c r="ADE7" s="182"/>
      <c r="ADF7" s="182"/>
      <c r="ADG7" s="182"/>
      <c r="ADH7" s="182"/>
      <c r="ADI7" s="182"/>
      <c r="ADJ7" s="182"/>
      <c r="ADK7" s="182"/>
      <c r="ADL7" s="182"/>
      <c r="ADM7" s="182"/>
      <c r="ADN7" s="182"/>
      <c r="ADO7" s="182"/>
      <c r="ADP7" s="182"/>
      <c r="ADQ7" s="182"/>
      <c r="ADR7" s="182"/>
      <c r="ADS7" s="182"/>
      <c r="ADT7" s="182"/>
      <c r="ADU7" s="182"/>
      <c r="ADV7" s="182"/>
      <c r="ADW7" s="182"/>
      <c r="ADX7" s="182"/>
      <c r="ADY7" s="182"/>
      <c r="ADZ7" s="182"/>
      <c r="AEA7" s="182"/>
      <c r="AEB7" s="182"/>
      <c r="AEC7" s="182"/>
      <c r="AED7" s="182"/>
      <c r="AEE7" s="182"/>
      <c r="AEF7" s="182"/>
      <c r="AEG7" s="182"/>
      <c r="AEH7" s="182"/>
      <c r="AEI7" s="182"/>
      <c r="AEJ7" s="182"/>
      <c r="AEK7" s="182"/>
      <c r="AEL7" s="182"/>
      <c r="AEM7" s="182"/>
      <c r="AEN7" s="182"/>
      <c r="AEO7" s="182"/>
      <c r="AEP7" s="182"/>
      <c r="AEQ7" s="182"/>
      <c r="AER7" s="182"/>
      <c r="AES7" s="182"/>
      <c r="AET7" s="182"/>
      <c r="AEU7" s="182"/>
      <c r="AEV7" s="182"/>
      <c r="AEW7" s="182"/>
      <c r="AEX7" s="182"/>
      <c r="AEY7" s="182"/>
      <c r="AEZ7" s="182"/>
      <c r="AFA7" s="182"/>
      <c r="AFB7" s="182"/>
      <c r="AFC7" s="182"/>
      <c r="AFD7" s="182"/>
      <c r="AFE7" s="182"/>
      <c r="AFF7" s="182"/>
      <c r="AFG7" s="182"/>
      <c r="AFH7" s="182"/>
      <c r="AFI7" s="182"/>
      <c r="AFJ7" s="182"/>
      <c r="AFK7" s="182"/>
      <c r="AFL7" s="182"/>
      <c r="AFM7" s="182"/>
      <c r="AFN7" s="182"/>
      <c r="AFO7" s="182"/>
      <c r="AFP7" s="182"/>
      <c r="AFQ7" s="182"/>
      <c r="AFR7" s="182"/>
      <c r="AFS7" s="182"/>
      <c r="AFT7" s="182"/>
      <c r="AFU7" s="182"/>
      <c r="AFV7" s="182"/>
      <c r="AFW7" s="182"/>
      <c r="AFX7" s="182"/>
      <c r="AFY7" s="182"/>
      <c r="AFZ7" s="182"/>
      <c r="AGA7" s="182"/>
      <c r="AGB7" s="182"/>
      <c r="AGC7" s="182"/>
      <c r="AGD7" s="182"/>
      <c r="AGE7" s="182"/>
      <c r="AGF7" s="182"/>
      <c r="AGG7" s="182"/>
      <c r="AGH7" s="182"/>
      <c r="AGI7" s="182"/>
      <c r="AGJ7" s="182"/>
      <c r="AGK7" s="182"/>
      <c r="AGL7" s="182"/>
      <c r="AGM7" s="182"/>
      <c r="AGN7" s="182"/>
      <c r="AGO7" s="182"/>
      <c r="AGP7" s="182"/>
      <c r="AGQ7" s="182"/>
      <c r="AGR7" s="182"/>
      <c r="AGS7" s="182"/>
      <c r="AGT7" s="182"/>
      <c r="AGU7" s="182"/>
      <c r="AGV7" s="182"/>
      <c r="AGW7" s="182"/>
      <c r="AGX7" s="182"/>
      <c r="AGY7" s="182"/>
      <c r="AGZ7" s="182"/>
      <c r="AHA7" s="182"/>
      <c r="AHB7" s="182"/>
      <c r="AHC7" s="182"/>
      <c r="AHD7" s="182"/>
      <c r="AHE7" s="182"/>
      <c r="AHF7" s="182"/>
      <c r="AHG7" s="182"/>
      <c r="AHH7" s="182"/>
      <c r="AHI7" s="182"/>
      <c r="AHJ7" s="182"/>
      <c r="AHK7" s="182"/>
      <c r="AHL7" s="182"/>
      <c r="AHM7" s="182"/>
      <c r="AHN7" s="182"/>
      <c r="AHO7" s="182"/>
      <c r="AHP7" s="182"/>
      <c r="AHQ7" s="182"/>
      <c r="AHR7" s="182"/>
      <c r="AHS7" s="182"/>
      <c r="AHT7" s="182"/>
      <c r="AHU7" s="182"/>
      <c r="AHV7" s="182"/>
      <c r="AHW7" s="182"/>
      <c r="AHX7" s="182"/>
      <c r="AHY7" s="182"/>
      <c r="AHZ7" s="182"/>
      <c r="AIA7" s="182"/>
      <c r="AIB7" s="182"/>
      <c r="AIC7" s="182"/>
      <c r="AID7" s="182"/>
      <c r="AIE7" s="182"/>
      <c r="AIF7" s="182"/>
      <c r="AIG7" s="182"/>
      <c r="AIH7" s="182"/>
      <c r="AII7" s="182"/>
      <c r="AIJ7" s="182"/>
    </row>
    <row r="8" spans="1:920" s="183" customFormat="1" ht="15.75" customHeight="1">
      <c r="A8" s="180"/>
      <c r="B8" s="180"/>
      <c r="C8" s="180"/>
      <c r="D8" s="180"/>
      <c r="E8" s="387" t="s">
        <v>2080</v>
      </c>
      <c r="F8" s="542"/>
      <c r="G8" s="542"/>
      <c r="H8" s="186"/>
      <c r="J8" s="531"/>
      <c r="K8" s="388" t="s">
        <v>14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/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/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/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/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/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82"/>
      <c r="PU8" s="182"/>
      <c r="PV8" s="182"/>
      <c r="PW8" s="182"/>
      <c r="PX8" s="182"/>
      <c r="PY8" s="182"/>
      <c r="PZ8" s="182"/>
      <c r="QA8" s="182"/>
      <c r="QB8" s="182"/>
      <c r="QC8" s="182"/>
      <c r="QD8" s="182"/>
      <c r="QE8" s="182"/>
      <c r="QF8" s="182"/>
      <c r="QG8" s="182"/>
      <c r="QH8" s="182"/>
      <c r="QI8" s="182"/>
      <c r="QJ8" s="182"/>
      <c r="QK8" s="182"/>
      <c r="QL8" s="182"/>
      <c r="QM8" s="182"/>
      <c r="QN8" s="182"/>
      <c r="QO8" s="182"/>
      <c r="QP8" s="182"/>
      <c r="QQ8" s="182"/>
      <c r="QR8" s="182"/>
      <c r="QS8" s="182"/>
      <c r="QT8" s="182"/>
      <c r="QU8" s="182"/>
      <c r="QV8" s="182"/>
      <c r="QW8" s="182"/>
      <c r="QX8" s="182"/>
      <c r="QY8" s="182"/>
      <c r="QZ8" s="182"/>
      <c r="RA8" s="182"/>
      <c r="RB8" s="182"/>
      <c r="RC8" s="182"/>
      <c r="RD8" s="182"/>
      <c r="RE8" s="182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182"/>
      <c r="SN8" s="182"/>
      <c r="SO8" s="182"/>
      <c r="SP8" s="182"/>
      <c r="SQ8" s="182"/>
      <c r="SR8" s="182"/>
      <c r="SS8" s="182"/>
      <c r="ST8" s="182"/>
      <c r="SU8" s="182"/>
      <c r="SV8" s="182"/>
      <c r="SW8" s="182"/>
      <c r="SX8" s="182"/>
      <c r="SY8" s="182"/>
      <c r="SZ8" s="182"/>
      <c r="TA8" s="182"/>
      <c r="TB8" s="182"/>
      <c r="TC8" s="182"/>
      <c r="TD8" s="182"/>
      <c r="TE8" s="182"/>
      <c r="TF8" s="182"/>
      <c r="TG8" s="182"/>
      <c r="TH8" s="182"/>
      <c r="TI8" s="182"/>
      <c r="TJ8" s="182"/>
      <c r="TK8" s="182"/>
      <c r="TL8" s="182"/>
      <c r="TM8" s="182"/>
      <c r="TN8" s="182"/>
      <c r="TO8" s="182"/>
      <c r="TP8" s="182"/>
      <c r="TQ8" s="182"/>
      <c r="TR8" s="182"/>
      <c r="TS8" s="182"/>
      <c r="TT8" s="182"/>
      <c r="TU8" s="182"/>
      <c r="TV8" s="182"/>
      <c r="TW8" s="182"/>
      <c r="TX8" s="182"/>
      <c r="TY8" s="182"/>
      <c r="TZ8" s="182"/>
      <c r="UA8" s="182"/>
      <c r="UB8" s="182"/>
      <c r="UC8" s="182"/>
      <c r="UD8" s="182"/>
      <c r="UE8" s="182"/>
      <c r="UF8" s="182"/>
      <c r="UG8" s="182"/>
      <c r="UH8" s="182"/>
      <c r="UI8" s="182"/>
      <c r="UJ8" s="182"/>
      <c r="UK8" s="182"/>
      <c r="UL8" s="182"/>
      <c r="UM8" s="182"/>
      <c r="UN8" s="182"/>
      <c r="UO8" s="182"/>
      <c r="UP8" s="182"/>
      <c r="UQ8" s="182"/>
      <c r="UR8" s="182"/>
      <c r="US8" s="182"/>
      <c r="UT8" s="182"/>
      <c r="UU8" s="182"/>
      <c r="UV8" s="182"/>
      <c r="UW8" s="182"/>
      <c r="UX8" s="182"/>
      <c r="UY8" s="182"/>
      <c r="UZ8" s="182"/>
      <c r="VA8" s="182"/>
      <c r="VB8" s="182"/>
      <c r="VC8" s="182"/>
      <c r="VD8" s="182"/>
      <c r="VE8" s="182"/>
      <c r="VF8" s="182"/>
      <c r="VG8" s="182"/>
      <c r="VH8" s="182"/>
      <c r="VI8" s="182"/>
      <c r="VJ8" s="182"/>
      <c r="VK8" s="182"/>
      <c r="VL8" s="182"/>
      <c r="VM8" s="182"/>
      <c r="VN8" s="182"/>
      <c r="VO8" s="182"/>
      <c r="VP8" s="182"/>
      <c r="VQ8" s="182"/>
      <c r="VR8" s="182"/>
      <c r="VS8" s="182"/>
      <c r="VT8" s="182"/>
      <c r="VU8" s="182"/>
      <c r="VV8" s="182"/>
      <c r="VW8" s="182"/>
      <c r="VX8" s="182"/>
      <c r="VY8" s="182"/>
      <c r="VZ8" s="182"/>
      <c r="WA8" s="182"/>
      <c r="WB8" s="182"/>
      <c r="WC8" s="182"/>
      <c r="WD8" s="182"/>
      <c r="WE8" s="182"/>
      <c r="WF8" s="182"/>
      <c r="WG8" s="182"/>
      <c r="WH8" s="182"/>
      <c r="WI8" s="182"/>
      <c r="WJ8" s="182"/>
      <c r="WK8" s="182"/>
      <c r="WL8" s="182"/>
      <c r="WM8" s="182"/>
      <c r="WN8" s="182"/>
      <c r="WO8" s="182"/>
      <c r="WP8" s="182"/>
      <c r="WQ8" s="182"/>
      <c r="WR8" s="182"/>
      <c r="WS8" s="182"/>
      <c r="WT8" s="182"/>
      <c r="WU8" s="182"/>
      <c r="WV8" s="182"/>
      <c r="WW8" s="182"/>
      <c r="WX8" s="182"/>
      <c r="WY8" s="182"/>
      <c r="WZ8" s="182"/>
      <c r="XA8" s="182"/>
      <c r="XB8" s="182"/>
      <c r="XC8" s="182"/>
      <c r="XD8" s="182"/>
      <c r="XE8" s="182"/>
      <c r="XF8" s="182"/>
      <c r="XG8" s="182"/>
      <c r="XH8" s="182"/>
      <c r="XI8" s="182"/>
      <c r="XJ8" s="182"/>
      <c r="XK8" s="182"/>
      <c r="XL8" s="182"/>
      <c r="XM8" s="182"/>
      <c r="XN8" s="182"/>
      <c r="XO8" s="182"/>
      <c r="XP8" s="182"/>
      <c r="XQ8" s="182"/>
      <c r="XR8" s="182"/>
      <c r="XS8" s="182"/>
      <c r="XT8" s="182"/>
      <c r="XU8" s="182"/>
      <c r="XV8" s="182"/>
      <c r="XW8" s="182"/>
      <c r="XX8" s="182"/>
      <c r="XY8" s="182"/>
      <c r="XZ8" s="182"/>
      <c r="YA8" s="182"/>
      <c r="YB8" s="182"/>
      <c r="YC8" s="182"/>
      <c r="YD8" s="182"/>
      <c r="YE8" s="182"/>
      <c r="YF8" s="182"/>
      <c r="YG8" s="182"/>
      <c r="YH8" s="182"/>
      <c r="YI8" s="182"/>
      <c r="YJ8" s="182"/>
      <c r="YK8" s="182"/>
      <c r="YL8" s="182"/>
      <c r="YM8" s="182"/>
      <c r="YN8" s="182"/>
      <c r="YO8" s="182"/>
      <c r="YP8" s="182"/>
      <c r="YQ8" s="182"/>
      <c r="YR8" s="182"/>
      <c r="YS8" s="182"/>
      <c r="YT8" s="182"/>
      <c r="YU8" s="182"/>
      <c r="YV8" s="182"/>
      <c r="YW8" s="182"/>
      <c r="YX8" s="182"/>
      <c r="YY8" s="182"/>
      <c r="YZ8" s="182"/>
      <c r="ZA8" s="182"/>
      <c r="ZB8" s="182"/>
      <c r="ZC8" s="182"/>
      <c r="ZD8" s="182"/>
      <c r="ZE8" s="182"/>
      <c r="ZF8" s="182"/>
      <c r="ZG8" s="182"/>
      <c r="ZH8" s="182"/>
      <c r="ZI8" s="182"/>
      <c r="ZJ8" s="182"/>
      <c r="ZK8" s="182"/>
      <c r="ZL8" s="182"/>
      <c r="ZM8" s="182"/>
      <c r="ZN8" s="182"/>
      <c r="ZO8" s="182"/>
      <c r="ZP8" s="182"/>
      <c r="ZQ8" s="182"/>
      <c r="ZR8" s="182"/>
      <c r="ZS8" s="182"/>
      <c r="ZT8" s="182"/>
      <c r="ZU8" s="182"/>
      <c r="ZV8" s="182"/>
      <c r="ZW8" s="182"/>
      <c r="ZX8" s="182"/>
      <c r="ZY8" s="182"/>
      <c r="ZZ8" s="182"/>
      <c r="AAA8" s="182"/>
      <c r="AAB8" s="182"/>
      <c r="AAC8" s="182"/>
      <c r="AAD8" s="182"/>
      <c r="AAE8" s="182"/>
      <c r="AAF8" s="182"/>
      <c r="AAG8" s="182"/>
      <c r="AAH8" s="182"/>
      <c r="AAI8" s="182"/>
      <c r="AAJ8" s="182"/>
      <c r="AAK8" s="182"/>
      <c r="AAL8" s="182"/>
      <c r="AAM8" s="182"/>
      <c r="AAN8" s="182"/>
      <c r="AAO8" s="182"/>
      <c r="AAP8" s="182"/>
      <c r="AAQ8" s="182"/>
      <c r="AAR8" s="182"/>
      <c r="AAS8" s="182"/>
      <c r="AAT8" s="182"/>
      <c r="AAU8" s="182"/>
      <c r="AAV8" s="182"/>
      <c r="AAW8" s="182"/>
      <c r="AAX8" s="182"/>
      <c r="AAY8" s="182"/>
      <c r="AAZ8" s="182"/>
      <c r="ABA8" s="182"/>
      <c r="ABB8" s="182"/>
      <c r="ABC8" s="182"/>
      <c r="ABD8" s="182"/>
      <c r="ABE8" s="182"/>
      <c r="ABF8" s="182"/>
      <c r="ABG8" s="182"/>
      <c r="ABH8" s="182"/>
      <c r="ABI8" s="182"/>
      <c r="ABJ8" s="182"/>
      <c r="ABK8" s="182"/>
      <c r="ABL8" s="182"/>
      <c r="ABM8" s="182"/>
      <c r="ABN8" s="182"/>
      <c r="ABO8" s="182"/>
      <c r="ABP8" s="182"/>
      <c r="ABQ8" s="182"/>
      <c r="ABR8" s="182"/>
      <c r="ABS8" s="182"/>
      <c r="ABT8" s="182"/>
      <c r="ABU8" s="182"/>
      <c r="ABV8" s="182"/>
      <c r="ABW8" s="182"/>
      <c r="ABX8" s="182"/>
      <c r="ABY8" s="182"/>
      <c r="ABZ8" s="182"/>
      <c r="ACA8" s="182"/>
      <c r="ACB8" s="182"/>
      <c r="ACC8" s="182"/>
      <c r="ACD8" s="182"/>
      <c r="ACE8" s="182"/>
      <c r="ACF8" s="182"/>
      <c r="ACG8" s="182"/>
      <c r="ACH8" s="182"/>
      <c r="ACI8" s="182"/>
      <c r="ACJ8" s="182"/>
      <c r="ACK8" s="182"/>
      <c r="ACL8" s="182"/>
      <c r="ACM8" s="182"/>
      <c r="ACN8" s="182"/>
      <c r="ACO8" s="182"/>
      <c r="ACP8" s="182"/>
      <c r="ACQ8" s="182"/>
      <c r="ACR8" s="182"/>
      <c r="ACS8" s="182"/>
      <c r="ACT8" s="182"/>
      <c r="ACU8" s="182"/>
      <c r="ACV8" s="182"/>
      <c r="ACW8" s="182"/>
      <c r="ACX8" s="182"/>
      <c r="ACY8" s="182"/>
      <c r="ACZ8" s="182"/>
      <c r="ADA8" s="182"/>
      <c r="ADB8" s="182"/>
      <c r="ADC8" s="182"/>
      <c r="ADD8" s="182"/>
      <c r="ADE8" s="182"/>
      <c r="ADF8" s="182"/>
      <c r="ADG8" s="182"/>
      <c r="ADH8" s="182"/>
      <c r="ADI8" s="182"/>
      <c r="ADJ8" s="182"/>
      <c r="ADK8" s="182"/>
      <c r="ADL8" s="182"/>
      <c r="ADM8" s="182"/>
      <c r="ADN8" s="182"/>
      <c r="ADO8" s="182"/>
      <c r="ADP8" s="182"/>
      <c r="ADQ8" s="182"/>
      <c r="ADR8" s="182"/>
      <c r="ADS8" s="182"/>
      <c r="ADT8" s="182"/>
      <c r="ADU8" s="182"/>
      <c r="ADV8" s="182"/>
      <c r="ADW8" s="182"/>
      <c r="ADX8" s="182"/>
      <c r="ADY8" s="182"/>
      <c r="ADZ8" s="182"/>
      <c r="AEA8" s="182"/>
      <c r="AEB8" s="182"/>
      <c r="AEC8" s="182"/>
      <c r="AED8" s="182"/>
      <c r="AEE8" s="182"/>
      <c r="AEF8" s="182"/>
      <c r="AEG8" s="182"/>
      <c r="AEH8" s="182"/>
      <c r="AEI8" s="182"/>
      <c r="AEJ8" s="182"/>
      <c r="AEK8" s="182"/>
      <c r="AEL8" s="182"/>
      <c r="AEM8" s="182"/>
      <c r="AEN8" s="182"/>
      <c r="AEO8" s="182"/>
      <c r="AEP8" s="182"/>
      <c r="AEQ8" s="182"/>
      <c r="AER8" s="182"/>
      <c r="AES8" s="182"/>
      <c r="AET8" s="182"/>
      <c r="AEU8" s="182"/>
      <c r="AEV8" s="182"/>
      <c r="AEW8" s="182"/>
      <c r="AEX8" s="182"/>
      <c r="AEY8" s="182"/>
      <c r="AEZ8" s="182"/>
      <c r="AFA8" s="182"/>
      <c r="AFB8" s="182"/>
      <c r="AFC8" s="182"/>
      <c r="AFD8" s="182"/>
      <c r="AFE8" s="182"/>
      <c r="AFF8" s="182"/>
      <c r="AFG8" s="182"/>
      <c r="AFH8" s="182"/>
      <c r="AFI8" s="182"/>
      <c r="AFJ8" s="182"/>
      <c r="AFK8" s="182"/>
      <c r="AFL8" s="182"/>
      <c r="AFM8" s="182"/>
      <c r="AFN8" s="182"/>
      <c r="AFO8" s="182"/>
      <c r="AFP8" s="182"/>
      <c r="AFQ8" s="182"/>
      <c r="AFR8" s="182"/>
      <c r="AFS8" s="182"/>
      <c r="AFT8" s="182"/>
      <c r="AFU8" s="182"/>
      <c r="AFV8" s="182"/>
      <c r="AFW8" s="182"/>
      <c r="AFX8" s="182"/>
      <c r="AFY8" s="182"/>
      <c r="AFZ8" s="182"/>
      <c r="AGA8" s="182"/>
      <c r="AGB8" s="182"/>
      <c r="AGC8" s="182"/>
      <c r="AGD8" s="182"/>
      <c r="AGE8" s="182"/>
      <c r="AGF8" s="182"/>
      <c r="AGG8" s="182"/>
      <c r="AGH8" s="182"/>
      <c r="AGI8" s="182"/>
      <c r="AGJ8" s="182"/>
      <c r="AGK8" s="182"/>
      <c r="AGL8" s="182"/>
      <c r="AGM8" s="182"/>
      <c r="AGN8" s="182"/>
      <c r="AGO8" s="182"/>
      <c r="AGP8" s="182"/>
      <c r="AGQ8" s="182"/>
      <c r="AGR8" s="182"/>
      <c r="AGS8" s="182"/>
      <c r="AGT8" s="182"/>
      <c r="AGU8" s="182"/>
      <c r="AGV8" s="182"/>
      <c r="AGW8" s="182"/>
      <c r="AGX8" s="182"/>
      <c r="AGY8" s="182"/>
      <c r="AGZ8" s="182"/>
      <c r="AHA8" s="182"/>
      <c r="AHB8" s="182"/>
      <c r="AHC8" s="182"/>
      <c r="AHD8" s="182"/>
      <c r="AHE8" s="182"/>
      <c r="AHF8" s="182"/>
      <c r="AHG8" s="182"/>
      <c r="AHH8" s="182"/>
      <c r="AHI8" s="182"/>
      <c r="AHJ8" s="182"/>
      <c r="AHK8" s="182"/>
      <c r="AHL8" s="182"/>
      <c r="AHM8" s="182"/>
      <c r="AHN8" s="182"/>
      <c r="AHO8" s="182"/>
      <c r="AHP8" s="182"/>
      <c r="AHQ8" s="182"/>
      <c r="AHR8" s="182"/>
      <c r="AHS8" s="182"/>
      <c r="AHT8" s="182"/>
      <c r="AHU8" s="182"/>
      <c r="AHV8" s="182"/>
      <c r="AHW8" s="182"/>
      <c r="AHX8" s="182"/>
      <c r="AHY8" s="182"/>
      <c r="AHZ8" s="182"/>
      <c r="AIA8" s="182"/>
      <c r="AIB8" s="182"/>
      <c r="AIC8" s="182"/>
      <c r="AID8" s="182"/>
      <c r="AIE8" s="182"/>
      <c r="AIF8" s="182"/>
      <c r="AIG8" s="182"/>
      <c r="AIH8" s="182"/>
      <c r="AII8" s="182"/>
      <c r="AIJ8" s="182"/>
    </row>
    <row r="9" spans="1:920" s="183" customFormat="1" ht="15.75" customHeight="1">
      <c r="A9" s="180"/>
      <c r="B9" s="180"/>
      <c r="C9" s="180"/>
      <c r="D9" s="180"/>
      <c r="E9" s="366" t="str">
        <f>IF(OsnPodaci!D7="","",OsnPodaci!D7)</f>
        <v>zjp-031-10</v>
      </c>
      <c r="F9" s="542"/>
      <c r="G9" s="542"/>
      <c r="H9" s="186"/>
      <c r="J9" s="531"/>
      <c r="K9" s="373" t="str">
        <f>IF(OsnPodaci!A23="","",OsnPodaci!A23)</f>
        <v>1610000031640053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  <c r="AIJ9" s="182"/>
    </row>
    <row r="10" spans="1:920" s="183" customFormat="1" ht="15" customHeight="1">
      <c r="A10" s="180"/>
      <c r="B10" s="180"/>
      <c r="C10" s="180"/>
      <c r="D10" s="180"/>
      <c r="E10" s="387" t="s">
        <v>1937</v>
      </c>
      <c r="F10" s="187"/>
      <c r="J10" s="531"/>
      <c r="K10" s="388" t="s">
        <v>1949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  <c r="PY10" s="182"/>
      <c r="PZ10" s="182"/>
      <c r="QA10" s="182"/>
      <c r="QB10" s="182"/>
      <c r="QC10" s="182"/>
      <c r="QD10" s="182"/>
      <c r="QE10" s="182"/>
      <c r="QF10" s="182"/>
      <c r="QG10" s="182"/>
      <c r="QH10" s="182"/>
      <c r="QI10" s="182"/>
      <c r="QJ10" s="182"/>
      <c r="QK10" s="182"/>
      <c r="QL10" s="182"/>
      <c r="QM10" s="182"/>
      <c r="QN10" s="182"/>
      <c r="QO10" s="182"/>
      <c r="QP10" s="182"/>
      <c r="QQ10" s="182"/>
      <c r="QR10" s="182"/>
      <c r="QS10" s="182"/>
      <c r="QT10" s="182"/>
      <c r="QU10" s="182"/>
      <c r="QV10" s="182"/>
      <c r="QW10" s="182"/>
      <c r="QX10" s="182"/>
      <c r="QY10" s="182"/>
      <c r="QZ10" s="182"/>
      <c r="RA10" s="182"/>
      <c r="RB10" s="182"/>
      <c r="RC10" s="182"/>
      <c r="RD10" s="182"/>
      <c r="RE10" s="182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182"/>
      <c r="SN10" s="182"/>
      <c r="SO10" s="182"/>
      <c r="SP10" s="182"/>
      <c r="SQ10" s="182"/>
      <c r="SR10" s="182"/>
      <c r="SS10" s="182"/>
      <c r="ST10" s="182"/>
      <c r="SU10" s="182"/>
      <c r="SV10" s="182"/>
      <c r="SW10" s="182"/>
      <c r="SX10" s="182"/>
      <c r="SY10" s="182"/>
      <c r="SZ10" s="182"/>
      <c r="TA10" s="182"/>
      <c r="TB10" s="182"/>
      <c r="TC10" s="182"/>
      <c r="TD10" s="182"/>
      <c r="TE10" s="182"/>
      <c r="TF10" s="182"/>
      <c r="TG10" s="182"/>
      <c r="TH10" s="182"/>
      <c r="TI10" s="182"/>
      <c r="TJ10" s="182"/>
      <c r="TK10" s="182"/>
      <c r="TL10" s="182"/>
      <c r="TM10" s="182"/>
      <c r="TN10" s="182"/>
      <c r="TO10" s="182"/>
      <c r="TP10" s="182"/>
      <c r="TQ10" s="182"/>
      <c r="TR10" s="182"/>
      <c r="TS10" s="182"/>
      <c r="TT10" s="182"/>
      <c r="TU10" s="182"/>
      <c r="TV10" s="182"/>
      <c r="TW10" s="182"/>
      <c r="TX10" s="182"/>
      <c r="TY10" s="182"/>
      <c r="TZ10" s="182"/>
      <c r="UA10" s="182"/>
      <c r="UB10" s="182"/>
      <c r="UC10" s="182"/>
      <c r="UD10" s="182"/>
      <c r="UE10" s="182"/>
      <c r="UF10" s="182"/>
      <c r="UG10" s="182"/>
      <c r="UH10" s="182"/>
      <c r="UI10" s="182"/>
      <c r="UJ10" s="182"/>
      <c r="UK10" s="182"/>
      <c r="UL10" s="182"/>
      <c r="UM10" s="182"/>
      <c r="UN10" s="182"/>
      <c r="UO10" s="182"/>
      <c r="UP10" s="182"/>
      <c r="UQ10" s="182"/>
      <c r="UR10" s="182"/>
      <c r="US10" s="182"/>
      <c r="UT10" s="182"/>
      <c r="UU10" s="182"/>
      <c r="UV10" s="182"/>
      <c r="UW10" s="182"/>
      <c r="UX10" s="182"/>
      <c r="UY10" s="182"/>
      <c r="UZ10" s="182"/>
      <c r="VA10" s="182"/>
      <c r="VB10" s="182"/>
      <c r="VC10" s="182"/>
      <c r="VD10" s="182"/>
      <c r="VE10" s="182"/>
      <c r="VF10" s="182"/>
      <c r="VG10" s="182"/>
      <c r="VH10" s="182"/>
      <c r="VI10" s="182"/>
      <c r="VJ10" s="182"/>
      <c r="VK10" s="182"/>
      <c r="VL10" s="182"/>
      <c r="VM10" s="182"/>
      <c r="VN10" s="182"/>
      <c r="VO10" s="182"/>
      <c r="VP10" s="182"/>
      <c r="VQ10" s="182"/>
      <c r="VR10" s="182"/>
      <c r="VS10" s="182"/>
      <c r="VT10" s="182"/>
      <c r="VU10" s="182"/>
      <c r="VV10" s="182"/>
      <c r="VW10" s="182"/>
      <c r="VX10" s="182"/>
      <c r="VY10" s="182"/>
      <c r="VZ10" s="182"/>
      <c r="WA10" s="182"/>
      <c r="WB10" s="182"/>
      <c r="WC10" s="182"/>
      <c r="WD10" s="182"/>
      <c r="WE10" s="182"/>
      <c r="WF10" s="182"/>
      <c r="WG10" s="182"/>
      <c r="WH10" s="182"/>
      <c r="WI10" s="182"/>
      <c r="WJ10" s="182"/>
      <c r="WK10" s="182"/>
      <c r="WL10" s="182"/>
      <c r="WM10" s="182"/>
      <c r="WN10" s="182"/>
      <c r="WO10" s="182"/>
      <c r="WP10" s="182"/>
      <c r="WQ10" s="182"/>
      <c r="WR10" s="182"/>
      <c r="WS10" s="182"/>
      <c r="WT10" s="182"/>
      <c r="WU10" s="182"/>
      <c r="WV10" s="182"/>
      <c r="WW10" s="182"/>
      <c r="WX10" s="182"/>
      <c r="WY10" s="182"/>
      <c r="WZ10" s="182"/>
      <c r="XA10" s="182"/>
      <c r="XB10" s="182"/>
      <c r="XC10" s="182"/>
      <c r="XD10" s="182"/>
      <c r="XE10" s="182"/>
      <c r="XF10" s="182"/>
      <c r="XG10" s="182"/>
      <c r="XH10" s="182"/>
      <c r="XI10" s="182"/>
      <c r="XJ10" s="182"/>
      <c r="XK10" s="182"/>
      <c r="XL10" s="182"/>
      <c r="XM10" s="182"/>
      <c r="XN10" s="182"/>
      <c r="XO10" s="182"/>
      <c r="XP10" s="182"/>
      <c r="XQ10" s="182"/>
      <c r="XR10" s="182"/>
      <c r="XS10" s="182"/>
      <c r="XT10" s="182"/>
      <c r="XU10" s="182"/>
      <c r="XV10" s="182"/>
      <c r="XW10" s="182"/>
      <c r="XX10" s="182"/>
      <c r="XY10" s="182"/>
      <c r="XZ10" s="182"/>
      <c r="YA10" s="182"/>
      <c r="YB10" s="182"/>
      <c r="YC10" s="182"/>
      <c r="YD10" s="182"/>
      <c r="YE10" s="182"/>
      <c r="YF10" s="182"/>
      <c r="YG10" s="182"/>
      <c r="YH10" s="182"/>
      <c r="YI10" s="182"/>
      <c r="YJ10" s="182"/>
      <c r="YK10" s="182"/>
      <c r="YL10" s="182"/>
      <c r="YM10" s="182"/>
      <c r="YN10" s="182"/>
      <c r="YO10" s="182"/>
      <c r="YP10" s="182"/>
      <c r="YQ10" s="182"/>
      <c r="YR10" s="182"/>
      <c r="YS10" s="182"/>
      <c r="YT10" s="182"/>
      <c r="YU10" s="182"/>
      <c r="YV10" s="182"/>
      <c r="YW10" s="182"/>
      <c r="YX10" s="182"/>
      <c r="YY10" s="182"/>
      <c r="YZ10" s="182"/>
      <c r="ZA10" s="182"/>
      <c r="ZB10" s="182"/>
      <c r="ZC10" s="182"/>
      <c r="ZD10" s="182"/>
      <c r="ZE10" s="182"/>
      <c r="ZF10" s="182"/>
      <c r="ZG10" s="182"/>
      <c r="ZH10" s="182"/>
      <c r="ZI10" s="182"/>
      <c r="ZJ10" s="182"/>
      <c r="ZK10" s="182"/>
      <c r="ZL10" s="182"/>
      <c r="ZM10" s="182"/>
      <c r="ZN10" s="182"/>
      <c r="ZO10" s="182"/>
      <c r="ZP10" s="182"/>
      <c r="ZQ10" s="182"/>
      <c r="ZR10" s="182"/>
      <c r="ZS10" s="182"/>
      <c r="ZT10" s="182"/>
      <c r="ZU10" s="182"/>
      <c r="ZV10" s="182"/>
      <c r="ZW10" s="182"/>
      <c r="ZX10" s="182"/>
      <c r="ZY10" s="182"/>
      <c r="ZZ10" s="182"/>
      <c r="AAA10" s="182"/>
      <c r="AAB10" s="182"/>
      <c r="AAC10" s="182"/>
      <c r="AAD10" s="182"/>
      <c r="AAE10" s="182"/>
      <c r="AAF10" s="182"/>
      <c r="AAG10" s="182"/>
      <c r="AAH10" s="182"/>
      <c r="AAI10" s="182"/>
      <c r="AAJ10" s="182"/>
      <c r="AAK10" s="182"/>
      <c r="AAL10" s="182"/>
      <c r="AAM10" s="182"/>
      <c r="AAN10" s="182"/>
      <c r="AAO10" s="182"/>
      <c r="AAP10" s="182"/>
      <c r="AAQ10" s="182"/>
      <c r="AAR10" s="182"/>
      <c r="AAS10" s="182"/>
      <c r="AAT10" s="182"/>
      <c r="AAU10" s="182"/>
      <c r="AAV10" s="182"/>
      <c r="AAW10" s="182"/>
      <c r="AAX10" s="182"/>
      <c r="AAY10" s="182"/>
      <c r="AAZ10" s="182"/>
      <c r="ABA10" s="182"/>
      <c r="ABB10" s="182"/>
      <c r="ABC10" s="182"/>
      <c r="ABD10" s="182"/>
      <c r="ABE10" s="182"/>
      <c r="ABF10" s="182"/>
      <c r="ABG10" s="182"/>
      <c r="ABH10" s="182"/>
      <c r="ABI10" s="182"/>
      <c r="ABJ10" s="182"/>
      <c r="ABK10" s="182"/>
      <c r="ABL10" s="182"/>
      <c r="ABM10" s="182"/>
      <c r="ABN10" s="182"/>
      <c r="ABO10" s="182"/>
      <c r="ABP10" s="182"/>
      <c r="ABQ10" s="182"/>
      <c r="ABR10" s="182"/>
      <c r="ABS10" s="182"/>
      <c r="ABT10" s="182"/>
      <c r="ABU10" s="182"/>
      <c r="ABV10" s="182"/>
      <c r="ABW10" s="182"/>
      <c r="ABX10" s="182"/>
      <c r="ABY10" s="182"/>
      <c r="ABZ10" s="182"/>
      <c r="ACA10" s="182"/>
      <c r="ACB10" s="182"/>
      <c r="ACC10" s="182"/>
      <c r="ACD10" s="182"/>
      <c r="ACE10" s="182"/>
      <c r="ACF10" s="182"/>
      <c r="ACG10" s="182"/>
      <c r="ACH10" s="182"/>
      <c r="ACI10" s="182"/>
      <c r="ACJ10" s="182"/>
      <c r="ACK10" s="182"/>
      <c r="ACL10" s="182"/>
      <c r="ACM10" s="182"/>
      <c r="ACN10" s="182"/>
      <c r="ACO10" s="182"/>
      <c r="ACP10" s="182"/>
      <c r="ACQ10" s="182"/>
      <c r="ACR10" s="182"/>
      <c r="ACS10" s="182"/>
      <c r="ACT10" s="182"/>
      <c r="ACU10" s="182"/>
      <c r="ACV10" s="182"/>
      <c r="ACW10" s="182"/>
      <c r="ACX10" s="182"/>
      <c r="ACY10" s="182"/>
      <c r="ACZ10" s="182"/>
      <c r="ADA10" s="182"/>
      <c r="ADB10" s="182"/>
      <c r="ADC10" s="182"/>
      <c r="ADD10" s="182"/>
      <c r="ADE10" s="182"/>
      <c r="ADF10" s="182"/>
      <c r="ADG10" s="182"/>
      <c r="ADH10" s="182"/>
      <c r="ADI10" s="182"/>
      <c r="ADJ10" s="182"/>
      <c r="ADK10" s="182"/>
      <c r="ADL10" s="182"/>
      <c r="ADM10" s="182"/>
      <c r="ADN10" s="182"/>
      <c r="ADO10" s="182"/>
      <c r="ADP10" s="182"/>
      <c r="ADQ10" s="182"/>
      <c r="ADR10" s="182"/>
      <c r="ADS10" s="182"/>
      <c r="ADT10" s="182"/>
      <c r="ADU10" s="182"/>
      <c r="ADV10" s="182"/>
      <c r="ADW10" s="182"/>
      <c r="ADX10" s="182"/>
      <c r="ADY10" s="182"/>
      <c r="ADZ10" s="182"/>
      <c r="AEA10" s="182"/>
      <c r="AEB10" s="182"/>
      <c r="AEC10" s="182"/>
      <c r="AED10" s="182"/>
      <c r="AEE10" s="182"/>
      <c r="AEF10" s="182"/>
      <c r="AEG10" s="182"/>
      <c r="AEH10" s="182"/>
      <c r="AEI10" s="182"/>
      <c r="AEJ10" s="182"/>
      <c r="AEK10" s="182"/>
      <c r="AEL10" s="182"/>
      <c r="AEM10" s="182"/>
      <c r="AEN10" s="182"/>
      <c r="AEO10" s="182"/>
      <c r="AEP10" s="182"/>
      <c r="AEQ10" s="182"/>
      <c r="AER10" s="182"/>
      <c r="AES10" s="182"/>
      <c r="AET10" s="182"/>
      <c r="AEU10" s="182"/>
      <c r="AEV10" s="182"/>
      <c r="AEW10" s="182"/>
      <c r="AEX10" s="182"/>
      <c r="AEY10" s="182"/>
      <c r="AEZ10" s="182"/>
      <c r="AFA10" s="182"/>
      <c r="AFB10" s="182"/>
      <c r="AFC10" s="182"/>
      <c r="AFD10" s="182"/>
      <c r="AFE10" s="182"/>
      <c r="AFF10" s="182"/>
      <c r="AFG10" s="182"/>
      <c r="AFH10" s="182"/>
      <c r="AFI10" s="182"/>
      <c r="AFJ10" s="182"/>
      <c r="AFK10" s="182"/>
      <c r="AFL10" s="182"/>
      <c r="AFM10" s="182"/>
      <c r="AFN10" s="182"/>
      <c r="AFO10" s="182"/>
      <c r="AFP10" s="182"/>
      <c r="AFQ10" s="182"/>
      <c r="AFR10" s="182"/>
      <c r="AFS10" s="182"/>
      <c r="AFT10" s="182"/>
      <c r="AFU10" s="182"/>
      <c r="AFV10" s="182"/>
      <c r="AFW10" s="182"/>
      <c r="AFX10" s="182"/>
      <c r="AFY10" s="182"/>
      <c r="AFZ10" s="182"/>
      <c r="AGA10" s="182"/>
      <c r="AGB10" s="182"/>
      <c r="AGC10" s="182"/>
      <c r="AGD10" s="182"/>
      <c r="AGE10" s="182"/>
      <c r="AGF10" s="182"/>
      <c r="AGG10" s="182"/>
      <c r="AGH10" s="182"/>
      <c r="AGI10" s="182"/>
      <c r="AGJ10" s="182"/>
      <c r="AGK10" s="182"/>
      <c r="AGL10" s="182"/>
      <c r="AGM10" s="182"/>
      <c r="AGN10" s="182"/>
      <c r="AGO10" s="182"/>
      <c r="AGP10" s="182"/>
      <c r="AGQ10" s="182"/>
      <c r="AGR10" s="182"/>
      <c r="AGS10" s="182"/>
      <c r="AGT10" s="182"/>
      <c r="AGU10" s="182"/>
      <c r="AGV10" s="182"/>
      <c r="AGW10" s="182"/>
      <c r="AGX10" s="182"/>
      <c r="AGY10" s="182"/>
      <c r="AGZ10" s="182"/>
      <c r="AHA10" s="182"/>
      <c r="AHB10" s="182"/>
      <c r="AHC10" s="182"/>
      <c r="AHD10" s="182"/>
      <c r="AHE10" s="182"/>
      <c r="AHF10" s="182"/>
      <c r="AHG10" s="182"/>
      <c r="AHH10" s="182"/>
      <c r="AHI10" s="182"/>
      <c r="AHJ10" s="182"/>
      <c r="AHK10" s="182"/>
      <c r="AHL10" s="182"/>
      <c r="AHM10" s="182"/>
      <c r="AHN10" s="182"/>
      <c r="AHO10" s="182"/>
      <c r="AHP10" s="182"/>
      <c r="AHQ10" s="182"/>
      <c r="AHR10" s="182"/>
      <c r="AHS10" s="182"/>
      <c r="AHT10" s="182"/>
      <c r="AHU10" s="182"/>
      <c r="AHV10" s="182"/>
      <c r="AHW10" s="182"/>
      <c r="AHX10" s="182"/>
      <c r="AHY10" s="182"/>
      <c r="AHZ10" s="182"/>
      <c r="AIA10" s="182"/>
      <c r="AIB10" s="182"/>
      <c r="AIC10" s="182"/>
      <c r="AID10" s="182"/>
      <c r="AIE10" s="182"/>
      <c r="AIF10" s="182"/>
      <c r="AIG10" s="182"/>
      <c r="AIH10" s="182"/>
      <c r="AII10" s="182"/>
      <c r="AIJ10" s="182"/>
    </row>
    <row r="11" spans="1:920" s="183" customFormat="1" ht="15" customHeight="1">
      <c r="A11" s="180"/>
      <c r="B11" s="180"/>
      <c r="C11" s="180"/>
      <c r="D11" s="180"/>
      <c r="E11" s="366" t="str">
        <f>IF(AND(OsnPodaci!A16="DA",LEN(OsnPodaci!B16)=12),OsnPodaci!B16,"-")</f>
        <v>-</v>
      </c>
      <c r="F11" s="187"/>
      <c r="J11" s="531"/>
      <c r="K11" s="184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82"/>
      <c r="QR11" s="182"/>
      <c r="QS11" s="182"/>
      <c r="QT11" s="182"/>
      <c r="QU11" s="182"/>
      <c r="QV11" s="182"/>
      <c r="QW11" s="182"/>
      <c r="QX11" s="182"/>
      <c r="QY11" s="182"/>
      <c r="QZ11" s="182"/>
      <c r="RA11" s="182"/>
      <c r="RB11" s="182"/>
      <c r="RC11" s="182"/>
      <c r="RD11" s="182"/>
      <c r="RE11" s="182"/>
      <c r="RF11" s="182"/>
      <c r="RG11" s="182"/>
      <c r="RH11" s="182"/>
      <c r="RI11" s="182"/>
      <c r="RJ11" s="182"/>
      <c r="RK11" s="182"/>
      <c r="RL11" s="182"/>
      <c r="RM11" s="182"/>
      <c r="RN11" s="182"/>
      <c r="RO11" s="182"/>
      <c r="RP11" s="182"/>
      <c r="RQ11" s="182"/>
      <c r="RR11" s="182"/>
      <c r="RS11" s="182"/>
      <c r="RT11" s="182"/>
      <c r="RU11" s="182"/>
      <c r="RV11" s="182"/>
      <c r="RW11" s="182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182"/>
      <c r="TO11" s="182"/>
      <c r="TP11" s="182"/>
      <c r="TQ11" s="182"/>
      <c r="TR11" s="182"/>
      <c r="TS11" s="182"/>
      <c r="TT11" s="182"/>
      <c r="TU11" s="182"/>
      <c r="TV11" s="182"/>
      <c r="TW11" s="182"/>
      <c r="TX11" s="182"/>
      <c r="TY11" s="182"/>
      <c r="TZ11" s="182"/>
      <c r="UA11" s="182"/>
      <c r="UB11" s="182"/>
      <c r="UC11" s="182"/>
      <c r="UD11" s="182"/>
      <c r="UE11" s="182"/>
      <c r="UF11" s="182"/>
      <c r="UG11" s="182"/>
      <c r="UH11" s="182"/>
      <c r="UI11" s="182"/>
      <c r="UJ11" s="182"/>
      <c r="UK11" s="182"/>
      <c r="UL11" s="182"/>
      <c r="UM11" s="182"/>
      <c r="UN11" s="182"/>
      <c r="UO11" s="182"/>
      <c r="UP11" s="182"/>
      <c r="UQ11" s="182"/>
      <c r="UR11" s="182"/>
      <c r="US11" s="182"/>
      <c r="UT11" s="182"/>
      <c r="UU11" s="182"/>
      <c r="UV11" s="182"/>
      <c r="UW11" s="182"/>
      <c r="UX11" s="182"/>
      <c r="UY11" s="182"/>
      <c r="UZ11" s="182"/>
      <c r="VA11" s="182"/>
      <c r="VB11" s="182"/>
      <c r="VC11" s="182"/>
      <c r="VD11" s="182"/>
      <c r="VE11" s="182"/>
      <c r="VF11" s="182"/>
      <c r="VG11" s="182"/>
      <c r="VH11" s="182"/>
      <c r="VI11" s="182"/>
      <c r="VJ11" s="182"/>
      <c r="VK11" s="182"/>
      <c r="VL11" s="182"/>
      <c r="VM11" s="182"/>
      <c r="VN11" s="182"/>
      <c r="VO11" s="182"/>
      <c r="VP11" s="182"/>
      <c r="VQ11" s="182"/>
      <c r="VR11" s="182"/>
      <c r="VS11" s="182"/>
      <c r="VT11" s="182"/>
      <c r="VU11" s="182"/>
      <c r="VV11" s="182"/>
      <c r="VW11" s="182"/>
      <c r="VX11" s="182"/>
      <c r="VY11" s="182"/>
      <c r="VZ11" s="182"/>
      <c r="WA11" s="182"/>
      <c r="WB11" s="182"/>
      <c r="WC11" s="182"/>
      <c r="WD11" s="182"/>
      <c r="WE11" s="182"/>
      <c r="WF11" s="182"/>
      <c r="WG11" s="182"/>
      <c r="WH11" s="182"/>
      <c r="WI11" s="182"/>
      <c r="WJ11" s="182"/>
      <c r="WK11" s="182"/>
      <c r="WL11" s="182"/>
      <c r="WM11" s="182"/>
      <c r="WN11" s="182"/>
      <c r="WO11" s="182"/>
      <c r="WP11" s="182"/>
      <c r="WQ11" s="182"/>
      <c r="WR11" s="182"/>
      <c r="WS11" s="182"/>
      <c r="WT11" s="182"/>
      <c r="WU11" s="182"/>
      <c r="WV11" s="182"/>
      <c r="WW11" s="182"/>
      <c r="WX11" s="182"/>
      <c r="WY11" s="182"/>
      <c r="WZ11" s="182"/>
      <c r="XA11" s="182"/>
      <c r="XB11" s="182"/>
      <c r="XC11" s="182"/>
      <c r="XD11" s="182"/>
      <c r="XE11" s="182"/>
      <c r="XF11" s="182"/>
      <c r="XG11" s="182"/>
      <c r="XH11" s="182"/>
      <c r="XI11" s="182"/>
      <c r="XJ11" s="182"/>
      <c r="XK11" s="182"/>
      <c r="XL11" s="182"/>
      <c r="XM11" s="182"/>
      <c r="XN11" s="182"/>
      <c r="XO11" s="182"/>
      <c r="XP11" s="182"/>
      <c r="XQ11" s="182"/>
      <c r="XR11" s="182"/>
      <c r="XS11" s="182"/>
      <c r="XT11" s="182"/>
      <c r="XU11" s="182"/>
      <c r="XV11" s="182"/>
      <c r="XW11" s="182"/>
      <c r="XX11" s="182"/>
      <c r="XY11" s="182"/>
      <c r="XZ11" s="182"/>
      <c r="YA11" s="182"/>
      <c r="YB11" s="182"/>
      <c r="YC11" s="182"/>
      <c r="YD11" s="182"/>
      <c r="YE11" s="182"/>
      <c r="YF11" s="182"/>
      <c r="YG11" s="182"/>
      <c r="YH11" s="182"/>
      <c r="YI11" s="182"/>
      <c r="YJ11" s="182"/>
      <c r="YK11" s="182"/>
      <c r="YL11" s="182"/>
      <c r="YM11" s="182"/>
      <c r="YN11" s="182"/>
      <c r="YO11" s="182"/>
      <c r="YP11" s="182"/>
      <c r="YQ11" s="182"/>
      <c r="YR11" s="182"/>
      <c r="YS11" s="182"/>
      <c r="YT11" s="182"/>
      <c r="YU11" s="182"/>
      <c r="YV11" s="182"/>
      <c r="YW11" s="182"/>
      <c r="YX11" s="182"/>
      <c r="YY11" s="182"/>
      <c r="YZ11" s="182"/>
      <c r="ZA11" s="182"/>
      <c r="ZB11" s="182"/>
      <c r="ZC11" s="182"/>
      <c r="ZD11" s="182"/>
      <c r="ZE11" s="182"/>
      <c r="ZF11" s="182"/>
      <c r="ZG11" s="182"/>
      <c r="ZH11" s="182"/>
      <c r="ZI11" s="182"/>
      <c r="ZJ11" s="182"/>
      <c r="ZK11" s="182"/>
      <c r="ZL11" s="182"/>
      <c r="ZM11" s="182"/>
      <c r="ZN11" s="182"/>
      <c r="ZO11" s="182"/>
      <c r="ZP11" s="182"/>
      <c r="ZQ11" s="182"/>
      <c r="ZR11" s="182"/>
      <c r="ZS11" s="182"/>
      <c r="ZT11" s="182"/>
      <c r="ZU11" s="182"/>
      <c r="ZV11" s="182"/>
      <c r="ZW11" s="182"/>
      <c r="ZX11" s="182"/>
      <c r="ZY11" s="182"/>
      <c r="ZZ11" s="182"/>
      <c r="AAA11" s="182"/>
      <c r="AAB11" s="182"/>
      <c r="AAC11" s="182"/>
      <c r="AAD11" s="182"/>
      <c r="AAE11" s="182"/>
      <c r="AAF11" s="182"/>
      <c r="AAG11" s="182"/>
      <c r="AAH11" s="182"/>
      <c r="AAI11" s="182"/>
      <c r="AAJ11" s="182"/>
      <c r="AAK11" s="182"/>
      <c r="AAL11" s="182"/>
      <c r="AAM11" s="182"/>
      <c r="AAN11" s="182"/>
      <c r="AAO11" s="182"/>
      <c r="AAP11" s="182"/>
      <c r="AAQ11" s="182"/>
      <c r="AAR11" s="182"/>
      <c r="AAS11" s="182"/>
      <c r="AAT11" s="182"/>
      <c r="AAU11" s="182"/>
      <c r="AAV11" s="182"/>
      <c r="AAW11" s="182"/>
      <c r="AAX11" s="182"/>
      <c r="AAY11" s="182"/>
      <c r="AAZ11" s="182"/>
      <c r="ABA11" s="182"/>
      <c r="ABB11" s="182"/>
      <c r="ABC11" s="182"/>
      <c r="ABD11" s="182"/>
      <c r="ABE11" s="182"/>
      <c r="ABF11" s="182"/>
      <c r="ABG11" s="182"/>
      <c r="ABH11" s="182"/>
      <c r="ABI11" s="182"/>
      <c r="ABJ11" s="182"/>
      <c r="ABK11" s="182"/>
      <c r="ABL11" s="182"/>
      <c r="ABM11" s="182"/>
      <c r="ABN11" s="182"/>
      <c r="ABO11" s="182"/>
      <c r="ABP11" s="182"/>
      <c r="ABQ11" s="182"/>
      <c r="ABR11" s="182"/>
      <c r="ABS11" s="182"/>
      <c r="ABT11" s="182"/>
      <c r="ABU11" s="182"/>
      <c r="ABV11" s="182"/>
      <c r="ABW11" s="182"/>
      <c r="ABX11" s="182"/>
      <c r="ABY11" s="182"/>
      <c r="ABZ11" s="182"/>
      <c r="ACA11" s="182"/>
      <c r="ACB11" s="182"/>
      <c r="ACC11" s="182"/>
      <c r="ACD11" s="182"/>
      <c r="ACE11" s="182"/>
      <c r="ACF11" s="182"/>
      <c r="ACG11" s="182"/>
      <c r="ACH11" s="182"/>
      <c r="ACI11" s="182"/>
      <c r="ACJ11" s="182"/>
      <c r="ACK11" s="182"/>
      <c r="ACL11" s="182"/>
      <c r="ACM11" s="182"/>
      <c r="ACN11" s="182"/>
      <c r="ACO11" s="182"/>
      <c r="ACP11" s="182"/>
      <c r="ACQ11" s="182"/>
      <c r="ACR11" s="182"/>
      <c r="ACS11" s="182"/>
      <c r="ACT11" s="182"/>
      <c r="ACU11" s="182"/>
      <c r="ACV11" s="182"/>
      <c r="ACW11" s="182"/>
      <c r="ACX11" s="182"/>
      <c r="ACY11" s="182"/>
      <c r="ACZ11" s="182"/>
      <c r="ADA11" s="182"/>
      <c r="ADB11" s="182"/>
      <c r="ADC11" s="182"/>
      <c r="ADD11" s="182"/>
      <c r="ADE11" s="182"/>
      <c r="ADF11" s="182"/>
      <c r="ADG11" s="182"/>
      <c r="ADH11" s="182"/>
      <c r="ADI11" s="182"/>
      <c r="ADJ11" s="182"/>
      <c r="ADK11" s="182"/>
      <c r="ADL11" s="182"/>
      <c r="ADM11" s="182"/>
      <c r="ADN11" s="182"/>
      <c r="ADO11" s="182"/>
      <c r="ADP11" s="182"/>
      <c r="ADQ11" s="182"/>
      <c r="ADR11" s="182"/>
      <c r="ADS11" s="182"/>
      <c r="ADT11" s="182"/>
      <c r="ADU11" s="182"/>
      <c r="ADV11" s="182"/>
      <c r="ADW11" s="182"/>
      <c r="ADX11" s="182"/>
      <c r="ADY11" s="182"/>
      <c r="ADZ11" s="182"/>
      <c r="AEA11" s="182"/>
      <c r="AEB11" s="182"/>
      <c r="AEC11" s="182"/>
      <c r="AED11" s="182"/>
      <c r="AEE11" s="182"/>
      <c r="AEF11" s="182"/>
      <c r="AEG11" s="182"/>
      <c r="AEH11" s="182"/>
      <c r="AEI11" s="182"/>
      <c r="AEJ11" s="182"/>
      <c r="AEK11" s="182"/>
      <c r="AEL11" s="182"/>
      <c r="AEM11" s="182"/>
      <c r="AEN11" s="182"/>
      <c r="AEO11" s="182"/>
      <c r="AEP11" s="182"/>
      <c r="AEQ11" s="182"/>
      <c r="AER11" s="182"/>
      <c r="AES11" s="182"/>
      <c r="AET11" s="182"/>
      <c r="AEU11" s="182"/>
      <c r="AEV11" s="182"/>
      <c r="AEW11" s="182"/>
      <c r="AEX11" s="182"/>
      <c r="AEY11" s="182"/>
      <c r="AEZ11" s="182"/>
      <c r="AFA11" s="182"/>
      <c r="AFB11" s="182"/>
      <c r="AFC11" s="182"/>
      <c r="AFD11" s="182"/>
      <c r="AFE11" s="182"/>
      <c r="AFF11" s="182"/>
      <c r="AFG11" s="182"/>
      <c r="AFH11" s="182"/>
      <c r="AFI11" s="182"/>
      <c r="AFJ11" s="182"/>
      <c r="AFK11" s="182"/>
      <c r="AFL11" s="182"/>
      <c r="AFM11" s="182"/>
      <c r="AFN11" s="182"/>
      <c r="AFO11" s="182"/>
      <c r="AFP11" s="182"/>
      <c r="AFQ11" s="182"/>
      <c r="AFR11" s="182"/>
      <c r="AFS11" s="182"/>
      <c r="AFT11" s="182"/>
      <c r="AFU11" s="182"/>
      <c r="AFV11" s="182"/>
      <c r="AFW11" s="182"/>
      <c r="AFX11" s="182"/>
      <c r="AFY11" s="182"/>
      <c r="AFZ11" s="182"/>
      <c r="AGA11" s="182"/>
      <c r="AGB11" s="182"/>
      <c r="AGC11" s="182"/>
      <c r="AGD11" s="182"/>
      <c r="AGE11" s="182"/>
      <c r="AGF11" s="182"/>
      <c r="AGG11" s="182"/>
      <c r="AGH11" s="182"/>
      <c r="AGI11" s="182"/>
      <c r="AGJ11" s="182"/>
      <c r="AGK11" s="182"/>
      <c r="AGL11" s="182"/>
      <c r="AGM11" s="182"/>
      <c r="AGN11" s="182"/>
      <c r="AGO11" s="182"/>
      <c r="AGP11" s="182"/>
      <c r="AGQ11" s="182"/>
      <c r="AGR11" s="182"/>
      <c r="AGS11" s="182"/>
      <c r="AGT11" s="182"/>
      <c r="AGU11" s="182"/>
      <c r="AGV11" s="182"/>
      <c r="AGW11" s="182"/>
      <c r="AGX11" s="182"/>
      <c r="AGY11" s="182"/>
      <c r="AGZ11" s="182"/>
      <c r="AHA11" s="182"/>
      <c r="AHB11" s="182"/>
      <c r="AHC11" s="182"/>
      <c r="AHD11" s="182"/>
      <c r="AHE11" s="182"/>
      <c r="AHF11" s="182"/>
      <c r="AHG11" s="182"/>
      <c r="AHH11" s="182"/>
      <c r="AHI11" s="182"/>
      <c r="AHJ11" s="182"/>
      <c r="AHK11" s="182"/>
      <c r="AHL11" s="182"/>
      <c r="AHM11" s="182"/>
      <c r="AHN11" s="182"/>
      <c r="AHO11" s="182"/>
      <c r="AHP11" s="182"/>
      <c r="AHQ11" s="182"/>
      <c r="AHR11" s="182"/>
      <c r="AHS11" s="182"/>
      <c r="AHT11" s="182"/>
      <c r="AHU11" s="182"/>
      <c r="AHV11" s="182"/>
      <c r="AHW11" s="182"/>
      <c r="AHX11" s="182"/>
      <c r="AHY11" s="182"/>
      <c r="AHZ11" s="182"/>
      <c r="AIA11" s="182"/>
      <c r="AIB11" s="182"/>
      <c r="AIC11" s="182"/>
      <c r="AID11" s="182"/>
      <c r="AIE11" s="182"/>
      <c r="AIF11" s="182"/>
      <c r="AIG11" s="182"/>
      <c r="AIH11" s="182"/>
      <c r="AII11" s="182"/>
      <c r="AIJ11" s="182"/>
    </row>
    <row r="12" spans="1:920" s="183" customFormat="1" ht="15" customHeight="1">
      <c r="A12" s="180"/>
      <c r="B12" s="180"/>
      <c r="C12" s="180"/>
      <c r="D12" s="180"/>
      <c r="E12" s="387" t="s">
        <v>2081</v>
      </c>
      <c r="F12" s="187"/>
      <c r="J12" s="531"/>
      <c r="K12" s="184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  <c r="PY12" s="182"/>
      <c r="PZ12" s="182"/>
      <c r="QA12" s="182"/>
      <c r="QB12" s="182"/>
      <c r="QC12" s="182"/>
      <c r="QD12" s="182"/>
      <c r="QE12" s="182"/>
      <c r="QF12" s="182"/>
      <c r="QG12" s="182"/>
      <c r="QH12" s="182"/>
      <c r="QI12" s="182"/>
      <c r="QJ12" s="182"/>
      <c r="QK12" s="182"/>
      <c r="QL12" s="182"/>
      <c r="QM12" s="182"/>
      <c r="QN12" s="182"/>
      <c r="QO12" s="182"/>
      <c r="QP12" s="182"/>
      <c r="QQ12" s="182"/>
      <c r="QR12" s="182"/>
      <c r="QS12" s="182"/>
      <c r="QT12" s="182"/>
      <c r="QU12" s="182"/>
      <c r="QV12" s="182"/>
      <c r="QW12" s="182"/>
      <c r="QX12" s="182"/>
      <c r="QY12" s="182"/>
      <c r="QZ12" s="182"/>
      <c r="RA12" s="182"/>
      <c r="RB12" s="182"/>
      <c r="RC12" s="182"/>
      <c r="RD12" s="182"/>
      <c r="RE12" s="182"/>
      <c r="RF12" s="182"/>
      <c r="RG12" s="182"/>
      <c r="RH12" s="182"/>
      <c r="RI12" s="182"/>
      <c r="RJ12" s="182"/>
      <c r="RK12" s="182"/>
      <c r="RL12" s="182"/>
      <c r="RM12" s="182"/>
      <c r="RN12" s="182"/>
      <c r="RO12" s="182"/>
      <c r="RP12" s="182"/>
      <c r="RQ12" s="182"/>
      <c r="RR12" s="182"/>
      <c r="RS12" s="182"/>
      <c r="RT12" s="182"/>
      <c r="RU12" s="182"/>
      <c r="RV12" s="182"/>
      <c r="RW12" s="182"/>
      <c r="RX12" s="182"/>
      <c r="RY12" s="182"/>
      <c r="RZ12" s="182"/>
      <c r="SA12" s="182"/>
      <c r="SB12" s="182"/>
      <c r="SC12" s="182"/>
      <c r="SD12" s="182"/>
      <c r="SE12" s="182"/>
      <c r="SF12" s="182"/>
      <c r="SG12" s="182"/>
      <c r="SH12" s="182"/>
      <c r="SI12" s="182"/>
      <c r="SJ12" s="182"/>
      <c r="SK12" s="182"/>
      <c r="SL12" s="182"/>
      <c r="SM12" s="182"/>
      <c r="SN12" s="182"/>
      <c r="SO12" s="182"/>
      <c r="SP12" s="182"/>
      <c r="SQ12" s="182"/>
      <c r="SR12" s="182"/>
      <c r="SS12" s="182"/>
      <c r="ST12" s="182"/>
      <c r="SU12" s="182"/>
      <c r="SV12" s="182"/>
      <c r="SW12" s="182"/>
      <c r="SX12" s="182"/>
      <c r="SY12" s="182"/>
      <c r="SZ12" s="182"/>
      <c r="TA12" s="182"/>
      <c r="TB12" s="182"/>
      <c r="TC12" s="182"/>
      <c r="TD12" s="182"/>
      <c r="TE12" s="182"/>
      <c r="TF12" s="182"/>
      <c r="TG12" s="182"/>
      <c r="TH12" s="182"/>
      <c r="TI12" s="182"/>
      <c r="TJ12" s="182"/>
      <c r="TK12" s="182"/>
      <c r="TL12" s="182"/>
      <c r="TM12" s="182"/>
      <c r="TN12" s="182"/>
      <c r="TO12" s="182"/>
      <c r="TP12" s="182"/>
      <c r="TQ12" s="182"/>
      <c r="TR12" s="182"/>
      <c r="TS12" s="182"/>
      <c r="TT12" s="182"/>
      <c r="TU12" s="182"/>
      <c r="TV12" s="182"/>
      <c r="TW12" s="182"/>
      <c r="TX12" s="182"/>
      <c r="TY12" s="182"/>
      <c r="TZ12" s="182"/>
      <c r="UA12" s="182"/>
      <c r="UB12" s="182"/>
      <c r="UC12" s="182"/>
      <c r="UD12" s="182"/>
      <c r="UE12" s="182"/>
      <c r="UF12" s="182"/>
      <c r="UG12" s="182"/>
      <c r="UH12" s="182"/>
      <c r="UI12" s="182"/>
      <c r="UJ12" s="182"/>
      <c r="UK12" s="182"/>
      <c r="UL12" s="182"/>
      <c r="UM12" s="182"/>
      <c r="UN12" s="182"/>
      <c r="UO12" s="182"/>
      <c r="UP12" s="182"/>
      <c r="UQ12" s="182"/>
      <c r="UR12" s="182"/>
      <c r="US12" s="182"/>
      <c r="UT12" s="182"/>
      <c r="UU12" s="182"/>
      <c r="UV12" s="182"/>
      <c r="UW12" s="182"/>
      <c r="UX12" s="182"/>
      <c r="UY12" s="182"/>
      <c r="UZ12" s="182"/>
      <c r="VA12" s="182"/>
      <c r="VB12" s="182"/>
      <c r="VC12" s="182"/>
      <c r="VD12" s="182"/>
      <c r="VE12" s="182"/>
      <c r="VF12" s="182"/>
      <c r="VG12" s="182"/>
      <c r="VH12" s="182"/>
      <c r="VI12" s="182"/>
      <c r="VJ12" s="182"/>
      <c r="VK12" s="182"/>
      <c r="VL12" s="182"/>
      <c r="VM12" s="182"/>
      <c r="VN12" s="182"/>
      <c r="VO12" s="182"/>
      <c r="VP12" s="182"/>
      <c r="VQ12" s="182"/>
      <c r="VR12" s="182"/>
      <c r="VS12" s="182"/>
      <c r="VT12" s="182"/>
      <c r="VU12" s="182"/>
      <c r="VV12" s="182"/>
      <c r="VW12" s="182"/>
      <c r="VX12" s="182"/>
      <c r="VY12" s="182"/>
      <c r="VZ12" s="182"/>
      <c r="WA12" s="182"/>
      <c r="WB12" s="182"/>
      <c r="WC12" s="182"/>
      <c r="WD12" s="182"/>
      <c r="WE12" s="182"/>
      <c r="WF12" s="182"/>
      <c r="WG12" s="182"/>
      <c r="WH12" s="182"/>
      <c r="WI12" s="182"/>
      <c r="WJ12" s="182"/>
      <c r="WK12" s="182"/>
      <c r="WL12" s="182"/>
      <c r="WM12" s="182"/>
      <c r="WN12" s="182"/>
      <c r="WO12" s="182"/>
      <c r="WP12" s="182"/>
      <c r="WQ12" s="182"/>
      <c r="WR12" s="182"/>
      <c r="WS12" s="182"/>
      <c r="WT12" s="182"/>
      <c r="WU12" s="182"/>
      <c r="WV12" s="182"/>
      <c r="WW12" s="182"/>
      <c r="WX12" s="182"/>
      <c r="WY12" s="182"/>
      <c r="WZ12" s="182"/>
      <c r="XA12" s="182"/>
      <c r="XB12" s="182"/>
      <c r="XC12" s="182"/>
      <c r="XD12" s="182"/>
      <c r="XE12" s="182"/>
      <c r="XF12" s="182"/>
      <c r="XG12" s="182"/>
      <c r="XH12" s="182"/>
      <c r="XI12" s="182"/>
      <c r="XJ12" s="182"/>
      <c r="XK12" s="182"/>
      <c r="XL12" s="182"/>
      <c r="XM12" s="182"/>
      <c r="XN12" s="182"/>
      <c r="XO12" s="182"/>
      <c r="XP12" s="182"/>
      <c r="XQ12" s="182"/>
      <c r="XR12" s="182"/>
      <c r="XS12" s="182"/>
      <c r="XT12" s="182"/>
      <c r="XU12" s="182"/>
      <c r="XV12" s="182"/>
      <c r="XW12" s="182"/>
      <c r="XX12" s="182"/>
      <c r="XY12" s="182"/>
      <c r="XZ12" s="182"/>
      <c r="YA12" s="182"/>
      <c r="YB12" s="182"/>
      <c r="YC12" s="182"/>
      <c r="YD12" s="182"/>
      <c r="YE12" s="182"/>
      <c r="YF12" s="182"/>
      <c r="YG12" s="182"/>
      <c r="YH12" s="182"/>
      <c r="YI12" s="182"/>
      <c r="YJ12" s="182"/>
      <c r="YK12" s="182"/>
      <c r="YL12" s="182"/>
      <c r="YM12" s="182"/>
      <c r="YN12" s="182"/>
      <c r="YO12" s="182"/>
      <c r="YP12" s="182"/>
      <c r="YQ12" s="182"/>
      <c r="YR12" s="182"/>
      <c r="YS12" s="182"/>
      <c r="YT12" s="182"/>
      <c r="YU12" s="182"/>
      <c r="YV12" s="182"/>
      <c r="YW12" s="182"/>
      <c r="YX12" s="182"/>
      <c r="YY12" s="182"/>
      <c r="YZ12" s="182"/>
      <c r="ZA12" s="182"/>
      <c r="ZB12" s="182"/>
      <c r="ZC12" s="182"/>
      <c r="ZD12" s="182"/>
      <c r="ZE12" s="182"/>
      <c r="ZF12" s="182"/>
      <c r="ZG12" s="182"/>
      <c r="ZH12" s="182"/>
      <c r="ZI12" s="182"/>
      <c r="ZJ12" s="182"/>
      <c r="ZK12" s="182"/>
      <c r="ZL12" s="182"/>
      <c r="ZM12" s="182"/>
      <c r="ZN12" s="182"/>
      <c r="ZO12" s="182"/>
      <c r="ZP12" s="182"/>
      <c r="ZQ12" s="182"/>
      <c r="ZR12" s="182"/>
      <c r="ZS12" s="182"/>
      <c r="ZT12" s="182"/>
      <c r="ZU12" s="182"/>
      <c r="ZV12" s="182"/>
      <c r="ZW12" s="182"/>
      <c r="ZX12" s="182"/>
      <c r="ZY12" s="182"/>
      <c r="ZZ12" s="182"/>
      <c r="AAA12" s="182"/>
      <c r="AAB12" s="182"/>
      <c r="AAC12" s="182"/>
      <c r="AAD12" s="182"/>
      <c r="AAE12" s="182"/>
      <c r="AAF12" s="182"/>
      <c r="AAG12" s="182"/>
      <c r="AAH12" s="182"/>
      <c r="AAI12" s="182"/>
      <c r="AAJ12" s="182"/>
      <c r="AAK12" s="182"/>
      <c r="AAL12" s="182"/>
      <c r="AAM12" s="182"/>
      <c r="AAN12" s="182"/>
      <c r="AAO12" s="182"/>
      <c r="AAP12" s="182"/>
      <c r="AAQ12" s="182"/>
      <c r="AAR12" s="182"/>
      <c r="AAS12" s="182"/>
      <c r="AAT12" s="182"/>
      <c r="AAU12" s="182"/>
      <c r="AAV12" s="182"/>
      <c r="AAW12" s="182"/>
      <c r="AAX12" s="182"/>
      <c r="AAY12" s="182"/>
      <c r="AAZ12" s="182"/>
      <c r="ABA12" s="182"/>
      <c r="ABB12" s="182"/>
      <c r="ABC12" s="182"/>
      <c r="ABD12" s="182"/>
      <c r="ABE12" s="182"/>
      <c r="ABF12" s="182"/>
      <c r="ABG12" s="182"/>
      <c r="ABH12" s="182"/>
      <c r="ABI12" s="182"/>
      <c r="ABJ12" s="182"/>
      <c r="ABK12" s="182"/>
      <c r="ABL12" s="182"/>
      <c r="ABM12" s="182"/>
      <c r="ABN12" s="182"/>
      <c r="ABO12" s="182"/>
      <c r="ABP12" s="182"/>
      <c r="ABQ12" s="182"/>
      <c r="ABR12" s="182"/>
      <c r="ABS12" s="182"/>
      <c r="ABT12" s="182"/>
      <c r="ABU12" s="182"/>
      <c r="ABV12" s="182"/>
      <c r="ABW12" s="182"/>
      <c r="ABX12" s="182"/>
      <c r="ABY12" s="182"/>
      <c r="ABZ12" s="182"/>
      <c r="ACA12" s="182"/>
      <c r="ACB12" s="182"/>
      <c r="ACC12" s="182"/>
      <c r="ACD12" s="182"/>
      <c r="ACE12" s="182"/>
      <c r="ACF12" s="182"/>
      <c r="ACG12" s="182"/>
      <c r="ACH12" s="182"/>
      <c r="ACI12" s="182"/>
      <c r="ACJ12" s="182"/>
      <c r="ACK12" s="182"/>
      <c r="ACL12" s="182"/>
      <c r="ACM12" s="182"/>
      <c r="ACN12" s="182"/>
      <c r="ACO12" s="182"/>
      <c r="ACP12" s="182"/>
      <c r="ACQ12" s="182"/>
      <c r="ACR12" s="182"/>
      <c r="ACS12" s="182"/>
      <c r="ACT12" s="182"/>
      <c r="ACU12" s="182"/>
      <c r="ACV12" s="182"/>
      <c r="ACW12" s="182"/>
      <c r="ACX12" s="182"/>
      <c r="ACY12" s="182"/>
      <c r="ACZ12" s="182"/>
      <c r="ADA12" s="182"/>
      <c r="ADB12" s="182"/>
      <c r="ADC12" s="182"/>
      <c r="ADD12" s="182"/>
      <c r="ADE12" s="182"/>
      <c r="ADF12" s="182"/>
      <c r="ADG12" s="182"/>
      <c r="ADH12" s="182"/>
      <c r="ADI12" s="182"/>
      <c r="ADJ12" s="182"/>
      <c r="ADK12" s="182"/>
      <c r="ADL12" s="182"/>
      <c r="ADM12" s="182"/>
      <c r="ADN12" s="182"/>
      <c r="ADO12" s="182"/>
      <c r="ADP12" s="182"/>
      <c r="ADQ12" s="182"/>
      <c r="ADR12" s="182"/>
      <c r="ADS12" s="182"/>
      <c r="ADT12" s="182"/>
      <c r="ADU12" s="182"/>
      <c r="ADV12" s="182"/>
      <c r="ADW12" s="182"/>
      <c r="ADX12" s="182"/>
      <c r="ADY12" s="182"/>
      <c r="ADZ12" s="182"/>
      <c r="AEA12" s="182"/>
      <c r="AEB12" s="182"/>
      <c r="AEC12" s="182"/>
      <c r="AED12" s="182"/>
      <c r="AEE12" s="182"/>
      <c r="AEF12" s="182"/>
      <c r="AEG12" s="182"/>
      <c r="AEH12" s="182"/>
      <c r="AEI12" s="182"/>
      <c r="AEJ12" s="182"/>
      <c r="AEK12" s="182"/>
      <c r="AEL12" s="182"/>
      <c r="AEM12" s="182"/>
      <c r="AEN12" s="182"/>
      <c r="AEO12" s="182"/>
      <c r="AEP12" s="182"/>
      <c r="AEQ12" s="182"/>
      <c r="AER12" s="182"/>
      <c r="AES12" s="182"/>
      <c r="AET12" s="182"/>
      <c r="AEU12" s="182"/>
      <c r="AEV12" s="182"/>
      <c r="AEW12" s="182"/>
      <c r="AEX12" s="182"/>
      <c r="AEY12" s="182"/>
      <c r="AEZ12" s="182"/>
      <c r="AFA12" s="182"/>
      <c r="AFB12" s="182"/>
      <c r="AFC12" s="182"/>
      <c r="AFD12" s="182"/>
      <c r="AFE12" s="182"/>
      <c r="AFF12" s="182"/>
      <c r="AFG12" s="182"/>
      <c r="AFH12" s="182"/>
      <c r="AFI12" s="182"/>
      <c r="AFJ12" s="182"/>
      <c r="AFK12" s="182"/>
      <c r="AFL12" s="182"/>
      <c r="AFM12" s="182"/>
      <c r="AFN12" s="182"/>
      <c r="AFO12" s="182"/>
      <c r="AFP12" s="182"/>
      <c r="AFQ12" s="182"/>
      <c r="AFR12" s="182"/>
      <c r="AFS12" s="182"/>
      <c r="AFT12" s="182"/>
      <c r="AFU12" s="182"/>
      <c r="AFV12" s="182"/>
      <c r="AFW12" s="182"/>
      <c r="AFX12" s="182"/>
      <c r="AFY12" s="182"/>
      <c r="AFZ12" s="182"/>
      <c r="AGA12" s="182"/>
      <c r="AGB12" s="182"/>
      <c r="AGC12" s="182"/>
      <c r="AGD12" s="182"/>
      <c r="AGE12" s="182"/>
      <c r="AGF12" s="182"/>
      <c r="AGG12" s="182"/>
      <c r="AGH12" s="182"/>
      <c r="AGI12" s="182"/>
      <c r="AGJ12" s="182"/>
      <c r="AGK12" s="182"/>
      <c r="AGL12" s="182"/>
      <c r="AGM12" s="182"/>
      <c r="AGN12" s="182"/>
      <c r="AGO12" s="182"/>
      <c r="AGP12" s="182"/>
      <c r="AGQ12" s="182"/>
      <c r="AGR12" s="182"/>
      <c r="AGS12" s="182"/>
      <c r="AGT12" s="182"/>
      <c r="AGU12" s="182"/>
      <c r="AGV12" s="182"/>
      <c r="AGW12" s="182"/>
      <c r="AGX12" s="182"/>
      <c r="AGY12" s="182"/>
      <c r="AGZ12" s="182"/>
      <c r="AHA12" s="182"/>
      <c r="AHB12" s="182"/>
      <c r="AHC12" s="182"/>
      <c r="AHD12" s="182"/>
      <c r="AHE12" s="182"/>
      <c r="AHF12" s="182"/>
      <c r="AHG12" s="182"/>
      <c r="AHH12" s="182"/>
      <c r="AHI12" s="182"/>
      <c r="AHJ12" s="182"/>
      <c r="AHK12" s="182"/>
      <c r="AHL12" s="182"/>
      <c r="AHM12" s="182"/>
      <c r="AHN12" s="182"/>
      <c r="AHO12" s="182"/>
      <c r="AHP12" s="182"/>
      <c r="AHQ12" s="182"/>
      <c r="AHR12" s="182"/>
      <c r="AHS12" s="182"/>
      <c r="AHT12" s="182"/>
      <c r="AHU12" s="182"/>
      <c r="AHV12" s="182"/>
      <c r="AHW12" s="182"/>
      <c r="AHX12" s="182"/>
      <c r="AHY12" s="182"/>
      <c r="AHZ12" s="182"/>
      <c r="AIA12" s="182"/>
      <c r="AIB12" s="182"/>
      <c r="AIC12" s="182"/>
      <c r="AID12" s="182"/>
      <c r="AIE12" s="182"/>
      <c r="AIF12" s="182"/>
      <c r="AIG12" s="182"/>
      <c r="AIH12" s="182"/>
      <c r="AII12" s="182"/>
      <c r="AIJ12" s="182"/>
    </row>
    <row r="13" spans="1:920" ht="14.25" customHeight="1">
      <c r="E13" s="1033" t="s">
        <v>2296</v>
      </c>
      <c r="F13" s="1033"/>
      <c r="G13" s="1033"/>
      <c r="H13" s="1033"/>
      <c r="I13" s="1033"/>
      <c r="J13" s="1033"/>
      <c r="K13" s="1033"/>
    </row>
    <row r="14" spans="1:920" ht="14.25" customHeight="1">
      <c r="E14" s="1033" t="s">
        <v>2297</v>
      </c>
      <c r="F14" s="1033"/>
      <c r="G14" s="1033"/>
      <c r="H14" s="1033"/>
      <c r="I14" s="1033"/>
      <c r="J14" s="1033"/>
      <c r="K14" s="1033"/>
    </row>
    <row r="15" spans="1:920" ht="14.25" customHeight="1">
      <c r="E15" s="1036" t="s">
        <v>2298</v>
      </c>
      <c r="F15" s="1036"/>
      <c r="G15" s="1036"/>
      <c r="H15" s="1036"/>
      <c r="I15" s="1036"/>
      <c r="J15" s="1036"/>
      <c r="K15" s="1036"/>
    </row>
    <row r="16" spans="1:920" ht="15" customHeight="1">
      <c r="E16" s="1034" t="str">
        <f>IF(OsnPodaci!B58="","Unijeti interval izvještavanja.","na dan "&amp;TEXT(OsnPodaci!B58,"dd.mm.yyyy.")&amp;" godine")</f>
        <v>na dan 31.12.2022. godine</v>
      </c>
      <c r="F16" s="1034"/>
      <c r="G16" s="1034"/>
      <c r="H16" s="1034"/>
      <c r="I16" s="1034"/>
      <c r="J16" s="1034"/>
      <c r="K16" s="1034"/>
    </row>
    <row r="17" spans="1:920">
      <c r="E17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7" s="192"/>
      <c r="G17" s="192"/>
      <c r="H17" s="192"/>
      <c r="I17" s="192"/>
      <c r="K17" s="532" t="s">
        <v>2084</v>
      </c>
    </row>
    <row r="18" spans="1:920" ht="30.75" customHeight="1">
      <c r="E18" s="418" t="s">
        <v>2085</v>
      </c>
      <c r="F18" s="422" t="s">
        <v>2050</v>
      </c>
      <c r="G18" s="422" t="s">
        <v>2086</v>
      </c>
      <c r="H18" s="431" t="s">
        <v>2299</v>
      </c>
      <c r="I18" s="431" t="s">
        <v>2087</v>
      </c>
      <c r="J18" s="431" t="str">
        <f>"Od "&amp;TEXT(OsnPodaci!A58,"dd.mm.")&amp;" do "&amp;TEXT(OsnPodaci!B58,"dd.mm.")&amp;" tekuće godine"</f>
        <v>Od 01.01. do 31.12. tekuće godine</v>
      </c>
      <c r="K18" s="431" t="str">
        <f>"Od "&amp;TEXT(OsnPodaci!A58,"dd.mm.")&amp;" do "&amp;TEXT(OsnPodaci!B58,"dd.mm.")&amp;" prethodne godine"</f>
        <v>Od 01.01. do 31.12. prethodne godine</v>
      </c>
    </row>
    <row r="19" spans="1:920" s="196" customFormat="1" ht="12.75" customHeight="1">
      <c r="A19" s="194"/>
      <c r="B19" s="194"/>
      <c r="C19" s="194"/>
      <c r="D19" s="194"/>
      <c r="E19" s="419">
        <v>1</v>
      </c>
      <c r="F19" s="423">
        <v>2</v>
      </c>
      <c r="G19" s="423">
        <v>3</v>
      </c>
      <c r="H19" s="423">
        <v>4</v>
      </c>
      <c r="I19" s="432">
        <v>5</v>
      </c>
      <c r="J19" s="432">
        <v>6</v>
      </c>
      <c r="K19" s="432">
        <v>7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  <c r="RH19" s="195"/>
      <c r="RI19" s="195"/>
      <c r="RJ19" s="195"/>
      <c r="RK19" s="195"/>
      <c r="RL19" s="195"/>
      <c r="RM19" s="195"/>
      <c r="RN19" s="195"/>
      <c r="RO19" s="195"/>
      <c r="RP19" s="195"/>
      <c r="RQ19" s="195"/>
      <c r="RR19" s="195"/>
      <c r="RS19" s="195"/>
      <c r="RT19" s="195"/>
      <c r="RU19" s="195"/>
      <c r="RV19" s="195"/>
      <c r="RW19" s="195"/>
      <c r="RX19" s="195"/>
      <c r="RY19" s="195"/>
      <c r="RZ19" s="195"/>
      <c r="SA19" s="195"/>
      <c r="SB19" s="195"/>
      <c r="SC19" s="195"/>
      <c r="SD19" s="195"/>
      <c r="SE19" s="195"/>
      <c r="SF19" s="195"/>
      <c r="SG19" s="195"/>
      <c r="SH19" s="195"/>
      <c r="SI19" s="195"/>
      <c r="SJ19" s="195"/>
      <c r="SK19" s="195"/>
      <c r="SL19" s="195"/>
      <c r="SM19" s="195"/>
      <c r="SN19" s="195"/>
      <c r="SO19" s="195"/>
      <c r="SP19" s="195"/>
      <c r="SQ19" s="195"/>
      <c r="SR19" s="195"/>
      <c r="SS19" s="195"/>
      <c r="ST19" s="195"/>
      <c r="SU19" s="195"/>
      <c r="SV19" s="195"/>
      <c r="SW19" s="195"/>
      <c r="SX19" s="195"/>
      <c r="SY19" s="195"/>
      <c r="SZ19" s="195"/>
      <c r="TA19" s="195"/>
      <c r="TB19" s="195"/>
      <c r="TC19" s="195"/>
      <c r="TD19" s="195"/>
      <c r="TE19" s="195"/>
      <c r="TF19" s="195"/>
      <c r="TG19" s="195"/>
      <c r="TH19" s="195"/>
      <c r="TI19" s="195"/>
      <c r="TJ19" s="195"/>
      <c r="TK19" s="195"/>
      <c r="TL19" s="195"/>
      <c r="TM19" s="195"/>
      <c r="TN19" s="195"/>
      <c r="TO19" s="195"/>
      <c r="TP19" s="195"/>
      <c r="TQ19" s="195"/>
      <c r="TR19" s="195"/>
      <c r="TS19" s="195"/>
      <c r="TT19" s="195"/>
      <c r="TU19" s="195"/>
      <c r="TV19" s="195"/>
      <c r="TW19" s="195"/>
      <c r="TX19" s="195"/>
      <c r="TY19" s="195"/>
      <c r="TZ19" s="195"/>
      <c r="UA19" s="195"/>
      <c r="UB19" s="195"/>
      <c r="UC19" s="195"/>
      <c r="UD19" s="195"/>
      <c r="UE19" s="195"/>
      <c r="UF19" s="195"/>
      <c r="UG19" s="195"/>
      <c r="UH19" s="195"/>
      <c r="UI19" s="195"/>
      <c r="UJ19" s="195"/>
      <c r="UK19" s="195"/>
      <c r="UL19" s="195"/>
      <c r="UM19" s="195"/>
      <c r="UN19" s="195"/>
      <c r="UO19" s="195"/>
      <c r="UP19" s="195"/>
      <c r="UQ19" s="195"/>
      <c r="UR19" s="195"/>
      <c r="US19" s="195"/>
      <c r="UT19" s="195"/>
      <c r="UU19" s="195"/>
      <c r="UV19" s="195"/>
      <c r="UW19" s="195"/>
      <c r="UX19" s="195"/>
      <c r="UY19" s="195"/>
      <c r="UZ19" s="195"/>
      <c r="VA19" s="195"/>
      <c r="VB19" s="195"/>
      <c r="VC19" s="195"/>
      <c r="VD19" s="195"/>
      <c r="VE19" s="195"/>
      <c r="VF19" s="195"/>
      <c r="VG19" s="195"/>
      <c r="VH19" s="195"/>
      <c r="VI19" s="195"/>
      <c r="VJ19" s="195"/>
      <c r="VK19" s="195"/>
      <c r="VL19" s="195"/>
      <c r="VM19" s="195"/>
      <c r="VN19" s="195"/>
      <c r="VO19" s="195"/>
      <c r="VP19" s="195"/>
      <c r="VQ19" s="195"/>
      <c r="VR19" s="195"/>
      <c r="VS19" s="195"/>
      <c r="VT19" s="195"/>
      <c r="VU19" s="195"/>
      <c r="VV19" s="195"/>
      <c r="VW19" s="195"/>
      <c r="VX19" s="195"/>
      <c r="VY19" s="195"/>
      <c r="VZ19" s="195"/>
      <c r="WA19" s="195"/>
      <c r="WB19" s="195"/>
      <c r="WC19" s="195"/>
      <c r="WD19" s="195"/>
      <c r="WE19" s="195"/>
      <c r="WF19" s="195"/>
      <c r="WG19" s="195"/>
      <c r="WH19" s="195"/>
      <c r="WI19" s="195"/>
      <c r="WJ19" s="195"/>
      <c r="WK19" s="195"/>
      <c r="WL19" s="195"/>
      <c r="WM19" s="195"/>
      <c r="WN19" s="195"/>
      <c r="WO19" s="195"/>
      <c r="WP19" s="195"/>
      <c r="WQ19" s="195"/>
      <c r="WR19" s="195"/>
      <c r="WS19" s="195"/>
      <c r="WT19" s="195"/>
      <c r="WU19" s="195"/>
      <c r="WV19" s="195"/>
      <c r="WW19" s="195"/>
      <c r="WX19" s="195"/>
      <c r="WY19" s="195"/>
      <c r="WZ19" s="195"/>
      <c r="XA19" s="195"/>
      <c r="XB19" s="195"/>
      <c r="XC19" s="195"/>
      <c r="XD19" s="195"/>
      <c r="XE19" s="195"/>
      <c r="XF19" s="195"/>
      <c r="XG19" s="195"/>
      <c r="XH19" s="195"/>
      <c r="XI19" s="195"/>
      <c r="XJ19" s="195"/>
      <c r="XK19" s="195"/>
      <c r="XL19" s="195"/>
      <c r="XM19" s="195"/>
      <c r="XN19" s="195"/>
      <c r="XO19" s="195"/>
      <c r="XP19" s="195"/>
      <c r="XQ19" s="195"/>
      <c r="XR19" s="195"/>
      <c r="XS19" s="195"/>
      <c r="XT19" s="195"/>
      <c r="XU19" s="195"/>
      <c r="XV19" s="195"/>
      <c r="XW19" s="195"/>
      <c r="XX19" s="195"/>
      <c r="XY19" s="195"/>
      <c r="XZ19" s="195"/>
      <c r="YA19" s="195"/>
      <c r="YB19" s="195"/>
      <c r="YC19" s="195"/>
      <c r="YD19" s="195"/>
      <c r="YE19" s="195"/>
      <c r="YF19" s="195"/>
      <c r="YG19" s="195"/>
      <c r="YH19" s="195"/>
      <c r="YI19" s="195"/>
      <c r="YJ19" s="195"/>
      <c r="YK19" s="195"/>
      <c r="YL19" s="195"/>
      <c r="YM19" s="195"/>
      <c r="YN19" s="195"/>
      <c r="YO19" s="195"/>
      <c r="YP19" s="195"/>
      <c r="YQ19" s="195"/>
      <c r="YR19" s="195"/>
      <c r="YS19" s="195"/>
      <c r="YT19" s="195"/>
      <c r="YU19" s="195"/>
      <c r="YV19" s="195"/>
      <c r="YW19" s="195"/>
      <c r="YX19" s="195"/>
      <c r="YY19" s="195"/>
      <c r="YZ19" s="195"/>
      <c r="ZA19" s="195"/>
      <c r="ZB19" s="195"/>
      <c r="ZC19" s="195"/>
      <c r="ZD19" s="195"/>
      <c r="ZE19" s="195"/>
      <c r="ZF19" s="195"/>
      <c r="ZG19" s="195"/>
      <c r="ZH19" s="195"/>
      <c r="ZI19" s="195"/>
      <c r="ZJ19" s="195"/>
      <c r="ZK19" s="195"/>
      <c r="ZL19" s="195"/>
      <c r="ZM19" s="195"/>
      <c r="ZN19" s="195"/>
      <c r="ZO19" s="195"/>
      <c r="ZP19" s="195"/>
      <c r="ZQ19" s="195"/>
      <c r="ZR19" s="195"/>
      <c r="ZS19" s="195"/>
      <c r="ZT19" s="195"/>
      <c r="ZU19" s="195"/>
      <c r="ZV19" s="195"/>
      <c r="ZW19" s="195"/>
      <c r="ZX19" s="195"/>
      <c r="ZY19" s="195"/>
      <c r="ZZ19" s="195"/>
      <c r="AAA19" s="195"/>
      <c r="AAB19" s="195"/>
      <c r="AAC19" s="195"/>
      <c r="AAD19" s="195"/>
      <c r="AAE19" s="195"/>
      <c r="AAF19" s="195"/>
      <c r="AAG19" s="195"/>
      <c r="AAH19" s="195"/>
      <c r="AAI19" s="195"/>
      <c r="AAJ19" s="195"/>
      <c r="AAK19" s="195"/>
      <c r="AAL19" s="195"/>
      <c r="AAM19" s="195"/>
      <c r="AAN19" s="195"/>
      <c r="AAO19" s="195"/>
      <c r="AAP19" s="195"/>
      <c r="AAQ19" s="195"/>
      <c r="AAR19" s="195"/>
      <c r="AAS19" s="195"/>
      <c r="AAT19" s="195"/>
      <c r="AAU19" s="195"/>
      <c r="AAV19" s="195"/>
      <c r="AAW19" s="195"/>
      <c r="AAX19" s="195"/>
      <c r="AAY19" s="195"/>
      <c r="AAZ19" s="195"/>
      <c r="ABA19" s="195"/>
      <c r="ABB19" s="195"/>
      <c r="ABC19" s="195"/>
      <c r="ABD19" s="195"/>
      <c r="ABE19" s="195"/>
      <c r="ABF19" s="195"/>
      <c r="ABG19" s="195"/>
      <c r="ABH19" s="195"/>
      <c r="ABI19" s="195"/>
      <c r="ABJ19" s="195"/>
      <c r="ABK19" s="195"/>
      <c r="ABL19" s="195"/>
      <c r="ABM19" s="195"/>
      <c r="ABN19" s="195"/>
      <c r="ABO19" s="195"/>
      <c r="ABP19" s="195"/>
      <c r="ABQ19" s="195"/>
      <c r="ABR19" s="195"/>
      <c r="ABS19" s="195"/>
      <c r="ABT19" s="195"/>
      <c r="ABU19" s="195"/>
      <c r="ABV19" s="195"/>
      <c r="ABW19" s="195"/>
      <c r="ABX19" s="195"/>
      <c r="ABY19" s="195"/>
      <c r="ABZ19" s="195"/>
      <c r="ACA19" s="195"/>
      <c r="ACB19" s="195"/>
      <c r="ACC19" s="195"/>
      <c r="ACD19" s="195"/>
      <c r="ACE19" s="195"/>
      <c r="ACF19" s="195"/>
      <c r="ACG19" s="195"/>
      <c r="ACH19" s="195"/>
      <c r="ACI19" s="195"/>
      <c r="ACJ19" s="195"/>
      <c r="ACK19" s="195"/>
      <c r="ACL19" s="195"/>
      <c r="ACM19" s="195"/>
      <c r="ACN19" s="195"/>
      <c r="ACO19" s="195"/>
      <c r="ACP19" s="195"/>
      <c r="ACQ19" s="195"/>
      <c r="ACR19" s="195"/>
      <c r="ACS19" s="195"/>
      <c r="ACT19" s="195"/>
      <c r="ACU19" s="195"/>
      <c r="ACV19" s="195"/>
      <c r="ACW19" s="195"/>
      <c r="ACX19" s="195"/>
      <c r="ACY19" s="195"/>
      <c r="ACZ19" s="195"/>
      <c r="ADA19" s="195"/>
      <c r="ADB19" s="195"/>
      <c r="ADC19" s="195"/>
      <c r="ADD19" s="195"/>
      <c r="ADE19" s="195"/>
      <c r="ADF19" s="195"/>
      <c r="ADG19" s="195"/>
      <c r="ADH19" s="195"/>
      <c r="ADI19" s="195"/>
      <c r="ADJ19" s="195"/>
      <c r="ADK19" s="195"/>
      <c r="ADL19" s="195"/>
      <c r="ADM19" s="195"/>
      <c r="ADN19" s="195"/>
      <c r="ADO19" s="195"/>
      <c r="ADP19" s="195"/>
      <c r="ADQ19" s="195"/>
      <c r="ADR19" s="195"/>
      <c r="ADS19" s="195"/>
      <c r="ADT19" s="195"/>
      <c r="ADU19" s="195"/>
      <c r="ADV19" s="195"/>
      <c r="ADW19" s="195"/>
      <c r="ADX19" s="195"/>
      <c r="ADY19" s="195"/>
      <c r="ADZ19" s="195"/>
      <c r="AEA19" s="195"/>
      <c r="AEB19" s="195"/>
      <c r="AEC19" s="195"/>
      <c r="AED19" s="195"/>
      <c r="AEE19" s="195"/>
      <c r="AEF19" s="195"/>
      <c r="AEG19" s="195"/>
      <c r="AEH19" s="195"/>
      <c r="AEI19" s="195"/>
      <c r="AEJ19" s="195"/>
      <c r="AEK19" s="195"/>
      <c r="AEL19" s="195"/>
      <c r="AEM19" s="195"/>
      <c r="AEN19" s="195"/>
      <c r="AEO19" s="195"/>
      <c r="AEP19" s="195"/>
      <c r="AEQ19" s="195"/>
      <c r="AER19" s="195"/>
      <c r="AES19" s="195"/>
      <c r="AET19" s="195"/>
      <c r="AEU19" s="195"/>
      <c r="AEV19" s="195"/>
      <c r="AEW19" s="195"/>
      <c r="AEX19" s="195"/>
      <c r="AEY19" s="195"/>
      <c r="AEZ19" s="195"/>
      <c r="AFA19" s="195"/>
      <c r="AFB19" s="195"/>
      <c r="AFC19" s="195"/>
      <c r="AFD19" s="195"/>
      <c r="AFE19" s="195"/>
      <c r="AFF19" s="195"/>
      <c r="AFG19" s="195"/>
      <c r="AFH19" s="195"/>
      <c r="AFI19" s="195"/>
      <c r="AFJ19" s="195"/>
      <c r="AFK19" s="195"/>
      <c r="AFL19" s="195"/>
      <c r="AFM19" s="195"/>
      <c r="AFN19" s="195"/>
      <c r="AFO19" s="195"/>
      <c r="AFP19" s="195"/>
      <c r="AFQ19" s="195"/>
      <c r="AFR19" s="195"/>
      <c r="AFS19" s="195"/>
      <c r="AFT19" s="195"/>
      <c r="AFU19" s="195"/>
      <c r="AFV19" s="195"/>
      <c r="AFW19" s="195"/>
      <c r="AFX19" s="195"/>
      <c r="AFY19" s="195"/>
      <c r="AFZ19" s="195"/>
      <c r="AGA19" s="195"/>
      <c r="AGB19" s="195"/>
      <c r="AGC19" s="195"/>
      <c r="AGD19" s="195"/>
      <c r="AGE19" s="195"/>
      <c r="AGF19" s="195"/>
      <c r="AGG19" s="195"/>
      <c r="AGH19" s="195"/>
      <c r="AGI19" s="195"/>
      <c r="AGJ19" s="195"/>
      <c r="AGK19" s="195"/>
      <c r="AGL19" s="195"/>
      <c r="AGM19" s="195"/>
      <c r="AGN19" s="195"/>
      <c r="AGO19" s="195"/>
      <c r="AGP19" s="195"/>
      <c r="AGQ19" s="195"/>
      <c r="AGR19" s="195"/>
      <c r="AGS19" s="195"/>
      <c r="AGT19" s="195"/>
      <c r="AGU19" s="195"/>
      <c r="AGV19" s="195"/>
      <c r="AGW19" s="195"/>
      <c r="AGX19" s="195"/>
      <c r="AGY19" s="195"/>
      <c r="AGZ19" s="195"/>
      <c r="AHA19" s="195"/>
      <c r="AHB19" s="195"/>
      <c r="AHC19" s="195"/>
      <c r="AHD19" s="195"/>
      <c r="AHE19" s="195"/>
      <c r="AHF19" s="195"/>
      <c r="AHG19" s="195"/>
      <c r="AHH19" s="195"/>
      <c r="AHI19" s="195"/>
      <c r="AHJ19" s="195"/>
      <c r="AHK19" s="195"/>
      <c r="AHL19" s="195"/>
      <c r="AHM19" s="195"/>
      <c r="AHN19" s="195"/>
      <c r="AHO19" s="195"/>
      <c r="AHP19" s="195"/>
      <c r="AHQ19" s="195"/>
      <c r="AHR19" s="195"/>
      <c r="AHS19" s="195"/>
      <c r="AHT19" s="195"/>
      <c r="AHU19" s="195"/>
      <c r="AHV19" s="195"/>
      <c r="AHW19" s="195"/>
      <c r="AHX19" s="195"/>
      <c r="AHY19" s="195"/>
      <c r="AHZ19" s="195"/>
      <c r="AIA19" s="195"/>
      <c r="AIB19" s="195"/>
      <c r="AIC19" s="195"/>
      <c r="AID19" s="195"/>
      <c r="AIE19" s="195"/>
      <c r="AIF19" s="195"/>
      <c r="AIG19" s="195"/>
      <c r="AIH19" s="195"/>
      <c r="AII19" s="195"/>
      <c r="AIJ19" s="195"/>
    </row>
    <row r="20" spans="1:920" s="189" customFormat="1" ht="12.75" customHeight="1">
      <c r="A20" s="188"/>
      <c r="B20" s="188"/>
      <c r="C20" s="188"/>
      <c r="D20" s="188"/>
      <c r="E20" s="548"/>
      <c r="F20" s="549"/>
      <c r="G20" s="550"/>
      <c r="H20" s="551"/>
      <c r="I20" s="552"/>
      <c r="J20" s="546"/>
      <c r="K20" s="546"/>
    </row>
    <row r="21" spans="1:920" s="189" customFormat="1" ht="12.75" customHeight="1">
      <c r="A21" s="188"/>
      <c r="B21" s="188"/>
      <c r="C21" s="188"/>
      <c r="D21" s="188"/>
      <c r="E21" s="553" t="s">
        <v>2091</v>
      </c>
      <c r="F21" s="549" t="s">
        <v>2300</v>
      </c>
      <c r="G21" s="550"/>
      <c r="H21" s="551"/>
      <c r="I21" s="552"/>
      <c r="J21" s="546"/>
      <c r="K21" s="546"/>
    </row>
    <row r="22" spans="1:920" s="189" customFormat="1" ht="12.75" customHeight="1">
      <c r="A22" s="188">
        <v>0.01</v>
      </c>
      <c r="B22" s="188">
        <v>0.56999999999999995</v>
      </c>
      <c r="C22" s="188">
        <f>IF(LEN(J22)=0,"",1+ABS((J22*A22)/LEN(J22))+A22)</f>
        <v>94.118000000000009</v>
      </c>
      <c r="D22" s="188">
        <f>IF(LEN(K22)=0,"",1+ABS((K22*B22)/LEN(K22))+B22)</f>
        <v>7280.6979999999994</v>
      </c>
      <c r="E22" s="548" t="s">
        <v>2170</v>
      </c>
      <c r="F22" s="554" t="s">
        <v>2301</v>
      </c>
      <c r="G22" s="550"/>
      <c r="H22" s="555" t="s">
        <v>2302</v>
      </c>
      <c r="I22" s="552">
        <v>401</v>
      </c>
      <c r="J22" s="524">
        <v>46554</v>
      </c>
      <c r="K22" s="524">
        <v>63852</v>
      </c>
    </row>
    <row r="23" spans="1:920" s="189" customFormat="1" ht="12.75" customHeight="1">
      <c r="A23" s="188">
        <v>0.02</v>
      </c>
      <c r="B23" s="188">
        <v>0.57999999999999996</v>
      </c>
      <c r="C23" s="188">
        <f t="shared" ref="C23:D34" si="0">IF(LEN(J23)=0,"",1+ABS((J23*A23)/LEN(J23))+A23)</f>
        <v>2192.6966666666667</v>
      </c>
      <c r="D23" s="188">
        <f t="shared" si="0"/>
        <v>76023.726666666655</v>
      </c>
      <c r="E23" s="548" t="s">
        <v>2172</v>
      </c>
      <c r="F23" s="554" t="s">
        <v>2303</v>
      </c>
      <c r="G23" s="550"/>
      <c r="H23" s="555" t="s">
        <v>2302</v>
      </c>
      <c r="I23" s="552">
        <v>402</v>
      </c>
      <c r="J23" s="524">
        <v>657503</v>
      </c>
      <c r="K23" s="524">
        <v>786436</v>
      </c>
    </row>
    <row r="24" spans="1:920" s="189" customFormat="1">
      <c r="A24" s="188">
        <v>0.03</v>
      </c>
      <c r="B24" s="188">
        <v>0.59</v>
      </c>
      <c r="C24" s="188">
        <f t="shared" si="0"/>
        <v>3003.3785714285714</v>
      </c>
      <c r="D24" s="188">
        <f t="shared" si="0"/>
        <v>89836.76</v>
      </c>
      <c r="E24" s="548" t="s">
        <v>2218</v>
      </c>
      <c r="F24" s="554" t="s">
        <v>2304</v>
      </c>
      <c r="G24" s="550"/>
      <c r="H24" s="555" t="s">
        <v>2305</v>
      </c>
      <c r="I24" s="552">
        <v>403</v>
      </c>
      <c r="J24" s="524">
        <v>-700548</v>
      </c>
      <c r="K24" s="524">
        <v>-1218104</v>
      </c>
    </row>
    <row r="25" spans="1:920" s="189" customFormat="1" ht="12.75" customHeight="1">
      <c r="A25" s="188">
        <v>0.04</v>
      </c>
      <c r="B25" s="188">
        <v>0.6</v>
      </c>
      <c r="C25" s="188">
        <f t="shared" si="0"/>
        <v>4001.04</v>
      </c>
      <c r="D25" s="188">
        <f t="shared" si="0"/>
        <v>181140.05714285714</v>
      </c>
      <c r="E25" s="548" t="s">
        <v>2281</v>
      </c>
      <c r="F25" s="554" t="s">
        <v>2306</v>
      </c>
      <c r="G25" s="550"/>
      <c r="H25" s="555" t="s">
        <v>2302</v>
      </c>
      <c r="I25" s="552">
        <v>404</v>
      </c>
      <c r="J25" s="524">
        <v>600000</v>
      </c>
      <c r="K25" s="524">
        <v>2113282</v>
      </c>
    </row>
    <row r="26" spans="1:920" s="189" customFormat="1" ht="25.5">
      <c r="A26" s="188">
        <v>0.05</v>
      </c>
      <c r="B26" s="188">
        <v>0.61</v>
      </c>
      <c r="C26" s="188" t="str">
        <f t="shared" si="0"/>
        <v/>
      </c>
      <c r="D26" s="188" t="str">
        <f t="shared" si="0"/>
        <v/>
      </c>
      <c r="E26" s="548" t="s">
        <v>2307</v>
      </c>
      <c r="F26" s="554" t="s">
        <v>2308</v>
      </c>
      <c r="G26" s="550"/>
      <c r="H26" s="555" t="s">
        <v>2305</v>
      </c>
      <c r="I26" s="552">
        <v>405</v>
      </c>
      <c r="J26" s="524"/>
      <c r="K26" s="524"/>
    </row>
    <row r="27" spans="1:920" s="189" customFormat="1" ht="12.75" customHeight="1">
      <c r="A27" s="188">
        <v>0.06</v>
      </c>
      <c r="B27" s="188">
        <v>0.62</v>
      </c>
      <c r="C27" s="188" t="str">
        <f t="shared" si="0"/>
        <v/>
      </c>
      <c r="D27" s="188" t="str">
        <f t="shared" si="0"/>
        <v/>
      </c>
      <c r="E27" s="548" t="s">
        <v>2309</v>
      </c>
      <c r="F27" s="554" t="s">
        <v>2310</v>
      </c>
      <c r="G27" s="550"/>
      <c r="H27" s="555" t="s">
        <v>2302</v>
      </c>
      <c r="I27" s="552">
        <v>406</v>
      </c>
      <c r="J27" s="524"/>
      <c r="K27" s="524"/>
    </row>
    <row r="28" spans="1:920" s="189" customFormat="1" ht="12.75" customHeight="1">
      <c r="A28" s="188">
        <v>7.0000000000000007E-2</v>
      </c>
      <c r="B28" s="188">
        <v>0.63</v>
      </c>
      <c r="C28" s="188">
        <f t="shared" si="0"/>
        <v>7955.9400000000005</v>
      </c>
      <c r="D28" s="188">
        <f t="shared" si="0"/>
        <v>15383.169999999998</v>
      </c>
      <c r="E28" s="548" t="s">
        <v>2311</v>
      </c>
      <c r="F28" s="554" t="s">
        <v>2312</v>
      </c>
      <c r="G28" s="550"/>
      <c r="H28" s="555" t="s">
        <v>2305</v>
      </c>
      <c r="I28" s="552">
        <v>407</v>
      </c>
      <c r="J28" s="524">
        <v>-795487</v>
      </c>
      <c r="K28" s="524">
        <v>-170906</v>
      </c>
    </row>
    <row r="29" spans="1:920" s="189" customFormat="1" ht="12.75" customHeight="1">
      <c r="A29" s="188">
        <v>0.08</v>
      </c>
      <c r="B29" s="188">
        <v>0.64</v>
      </c>
      <c r="C29" s="188" t="str">
        <f t="shared" si="0"/>
        <v/>
      </c>
      <c r="D29" s="188" t="str">
        <f t="shared" si="0"/>
        <v/>
      </c>
      <c r="E29" s="548" t="s">
        <v>2313</v>
      </c>
      <c r="F29" s="554" t="s">
        <v>2314</v>
      </c>
      <c r="G29" s="550"/>
      <c r="H29" s="555" t="s">
        <v>2302</v>
      </c>
      <c r="I29" s="552">
        <v>408</v>
      </c>
      <c r="J29" s="524"/>
      <c r="K29" s="524"/>
    </row>
    <row r="30" spans="1:920" s="189" customFormat="1" ht="12.75" customHeight="1">
      <c r="A30" s="188"/>
      <c r="B30" s="188"/>
      <c r="C30" s="188"/>
      <c r="D30" s="188"/>
      <c r="E30" s="548" t="s">
        <v>2315</v>
      </c>
      <c r="F30" s="554" t="s">
        <v>2316</v>
      </c>
      <c r="G30" s="550"/>
      <c r="H30" s="555" t="s">
        <v>2305</v>
      </c>
      <c r="I30" s="552">
        <v>409</v>
      </c>
      <c r="J30" s="524"/>
      <c r="K30" s="524"/>
    </row>
    <row r="31" spans="1:920" s="189" customFormat="1" ht="12.75" customHeight="1">
      <c r="A31" s="188"/>
      <c r="B31" s="188"/>
      <c r="C31" s="188"/>
      <c r="D31" s="188"/>
      <c r="E31" s="548" t="s">
        <v>2317</v>
      </c>
      <c r="F31" s="554" t="s">
        <v>2318</v>
      </c>
      <c r="G31" s="550"/>
      <c r="H31" s="555" t="s">
        <v>2302</v>
      </c>
      <c r="I31" s="552">
        <v>410</v>
      </c>
      <c r="J31" s="524"/>
      <c r="K31" s="524"/>
    </row>
    <row r="32" spans="1:920" s="189" customFormat="1" ht="12.75" customHeight="1">
      <c r="A32" s="188">
        <v>0.09</v>
      </c>
      <c r="B32" s="188">
        <v>0.65</v>
      </c>
      <c r="C32" s="188">
        <f t="shared" si="0"/>
        <v>8602.84</v>
      </c>
      <c r="D32" s="188">
        <f t="shared" si="0"/>
        <v>51552.128571428577</v>
      </c>
      <c r="E32" s="548" t="s">
        <v>2319</v>
      </c>
      <c r="F32" s="556" t="s">
        <v>2320</v>
      </c>
      <c r="G32" s="550"/>
      <c r="H32" s="555" t="s">
        <v>2305</v>
      </c>
      <c r="I32" s="552">
        <v>411</v>
      </c>
      <c r="J32" s="524">
        <v>-669025</v>
      </c>
      <c r="K32" s="524">
        <v>-555159</v>
      </c>
    </row>
    <row r="33" spans="1:920" s="189" customFormat="1" ht="12.75" customHeight="1">
      <c r="A33" s="188">
        <v>0.1</v>
      </c>
      <c r="B33" s="188">
        <v>0.66</v>
      </c>
      <c r="C33" s="188">
        <f t="shared" si="0"/>
        <v>109.04</v>
      </c>
      <c r="D33" s="188">
        <f t="shared" si="0"/>
        <v>1568.94</v>
      </c>
      <c r="E33" s="548" t="s">
        <v>2321</v>
      </c>
      <c r="F33" s="556" t="s">
        <v>2322</v>
      </c>
      <c r="G33" s="550"/>
      <c r="H33" s="555" t="s">
        <v>2305</v>
      </c>
      <c r="I33" s="552">
        <v>412</v>
      </c>
      <c r="J33" s="524">
        <v>-5397</v>
      </c>
      <c r="K33" s="524">
        <v>-14248</v>
      </c>
    </row>
    <row r="34" spans="1:920" s="189" customFormat="1" ht="25.5">
      <c r="A34" s="188">
        <v>0.11</v>
      </c>
      <c r="B34" s="188">
        <v>0.67</v>
      </c>
      <c r="C34" s="188">
        <f t="shared" si="0"/>
        <v>639.23833333333334</v>
      </c>
      <c r="D34" s="188">
        <f t="shared" si="0"/>
        <v>3267.3616666666671</v>
      </c>
      <c r="E34" s="548" t="s">
        <v>2323</v>
      </c>
      <c r="F34" s="556" t="s">
        <v>2324</v>
      </c>
      <c r="G34" s="550"/>
      <c r="H34" s="555" t="s">
        <v>2305</v>
      </c>
      <c r="I34" s="552">
        <v>413</v>
      </c>
      <c r="J34" s="524">
        <v>-34807</v>
      </c>
      <c r="K34" s="524">
        <v>-29245</v>
      </c>
    </row>
    <row r="35" spans="1:920" ht="22.5">
      <c r="E35" s="557"/>
      <c r="F35" s="558"/>
      <c r="G35" s="558"/>
      <c r="H35" s="559"/>
      <c r="I35" s="560"/>
      <c r="J35" s="563"/>
      <c r="K35" s="113" t="str">
        <f>"*"&amp;'#Konverter'!AD8&amp;C62&amp;D62&amp;"*"</f>
        <v>*169087374*</v>
      </c>
    </row>
    <row r="36" spans="1:920" s="543" customFormat="1" ht="21.75" customHeight="1">
      <c r="E36" s="561" t="str">
        <f>IF(C62&amp;D62="","Obrazac prazan - unesite cifru na barem jednu poziciju.","Kontrolni broj: "&amp;MID(K35,2,LEN(K35)-2))</f>
        <v>Kontrolni broj: 169087374</v>
      </c>
      <c r="F36" s="562"/>
      <c r="G36" s="562"/>
      <c r="H36" s="544"/>
      <c r="I36" s="562"/>
      <c r="J36" s="564"/>
      <c r="K36" s="393" t="s">
        <v>2325</v>
      </c>
    </row>
    <row r="37" spans="1:920" ht="30.75" customHeight="1">
      <c r="E37" s="418" t="s">
        <v>2085</v>
      </c>
      <c r="F37" s="422" t="s">
        <v>2050</v>
      </c>
      <c r="G37" s="422" t="s">
        <v>2086</v>
      </c>
      <c r="H37" s="431" t="s">
        <v>2299</v>
      </c>
      <c r="I37" s="431" t="s">
        <v>2087</v>
      </c>
      <c r="J37" s="431" t="str">
        <f>"Od "&amp;TEXT(OsnPodaci!A58,"dd.mm.")&amp;" do "&amp;TEXT(OsnPodaci!B58,"dd.mm.")&amp;" tekuće godine"</f>
        <v>Od 01.01. do 31.12. tekuće godine</v>
      </c>
      <c r="K37" s="431" t="str">
        <f>"Od "&amp;TEXT(OsnPodaci!A58,"dd.mm.")&amp;" do "&amp;TEXT(OsnPodaci!B58,"dd.mm.")&amp;" prethodne godine"</f>
        <v>Od 01.01. do 31.12. prethodne godine</v>
      </c>
    </row>
    <row r="38" spans="1:920" s="196" customFormat="1" ht="12.75" customHeight="1">
      <c r="A38" s="194"/>
      <c r="B38" s="194"/>
      <c r="C38" s="194"/>
      <c r="D38" s="194"/>
      <c r="E38" s="419">
        <v>1</v>
      </c>
      <c r="F38" s="423">
        <v>2</v>
      </c>
      <c r="G38" s="423">
        <v>3</v>
      </c>
      <c r="H38" s="423">
        <v>4</v>
      </c>
      <c r="I38" s="432">
        <v>5</v>
      </c>
      <c r="J38" s="432">
        <v>6</v>
      </c>
      <c r="K38" s="432">
        <v>7</v>
      </c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  <c r="RH38" s="195"/>
      <c r="RI38" s="195"/>
      <c r="RJ38" s="195"/>
      <c r="RK38" s="195"/>
      <c r="RL38" s="195"/>
      <c r="RM38" s="195"/>
      <c r="RN38" s="195"/>
      <c r="RO38" s="195"/>
      <c r="RP38" s="195"/>
      <c r="RQ38" s="195"/>
      <c r="RR38" s="195"/>
      <c r="RS38" s="195"/>
      <c r="RT38" s="195"/>
      <c r="RU38" s="195"/>
      <c r="RV38" s="195"/>
      <c r="RW38" s="195"/>
      <c r="RX38" s="195"/>
      <c r="RY38" s="195"/>
      <c r="RZ38" s="195"/>
      <c r="SA38" s="195"/>
      <c r="SB38" s="195"/>
      <c r="SC38" s="195"/>
      <c r="SD38" s="195"/>
      <c r="SE38" s="195"/>
      <c r="SF38" s="195"/>
      <c r="SG38" s="195"/>
      <c r="SH38" s="195"/>
      <c r="SI38" s="195"/>
      <c r="SJ38" s="195"/>
      <c r="SK38" s="195"/>
      <c r="SL38" s="195"/>
      <c r="SM38" s="195"/>
      <c r="SN38" s="195"/>
      <c r="SO38" s="195"/>
      <c r="SP38" s="195"/>
      <c r="SQ38" s="195"/>
      <c r="SR38" s="195"/>
      <c r="SS38" s="195"/>
      <c r="ST38" s="195"/>
      <c r="SU38" s="195"/>
      <c r="SV38" s="195"/>
      <c r="SW38" s="195"/>
      <c r="SX38" s="195"/>
      <c r="SY38" s="195"/>
      <c r="SZ38" s="195"/>
      <c r="TA38" s="195"/>
      <c r="TB38" s="195"/>
      <c r="TC38" s="195"/>
      <c r="TD38" s="195"/>
      <c r="TE38" s="195"/>
      <c r="TF38" s="195"/>
      <c r="TG38" s="195"/>
      <c r="TH38" s="195"/>
      <c r="TI38" s="195"/>
      <c r="TJ38" s="195"/>
      <c r="TK38" s="195"/>
      <c r="TL38" s="195"/>
      <c r="TM38" s="195"/>
      <c r="TN38" s="195"/>
      <c r="TO38" s="195"/>
      <c r="TP38" s="195"/>
      <c r="TQ38" s="195"/>
      <c r="TR38" s="195"/>
      <c r="TS38" s="195"/>
      <c r="TT38" s="195"/>
      <c r="TU38" s="195"/>
      <c r="TV38" s="195"/>
      <c r="TW38" s="195"/>
      <c r="TX38" s="195"/>
      <c r="TY38" s="195"/>
      <c r="TZ38" s="195"/>
      <c r="UA38" s="195"/>
      <c r="UB38" s="195"/>
      <c r="UC38" s="195"/>
      <c r="UD38" s="195"/>
      <c r="UE38" s="195"/>
      <c r="UF38" s="195"/>
      <c r="UG38" s="195"/>
      <c r="UH38" s="195"/>
      <c r="UI38" s="195"/>
      <c r="UJ38" s="195"/>
      <c r="UK38" s="195"/>
      <c r="UL38" s="195"/>
      <c r="UM38" s="195"/>
      <c r="UN38" s="195"/>
      <c r="UO38" s="195"/>
      <c r="UP38" s="195"/>
      <c r="UQ38" s="195"/>
      <c r="UR38" s="195"/>
      <c r="US38" s="195"/>
      <c r="UT38" s="195"/>
      <c r="UU38" s="195"/>
      <c r="UV38" s="195"/>
      <c r="UW38" s="195"/>
      <c r="UX38" s="195"/>
      <c r="UY38" s="195"/>
      <c r="UZ38" s="195"/>
      <c r="VA38" s="195"/>
      <c r="VB38" s="195"/>
      <c r="VC38" s="195"/>
      <c r="VD38" s="195"/>
      <c r="VE38" s="195"/>
      <c r="VF38" s="195"/>
      <c r="VG38" s="195"/>
      <c r="VH38" s="195"/>
      <c r="VI38" s="195"/>
      <c r="VJ38" s="195"/>
      <c r="VK38" s="195"/>
      <c r="VL38" s="195"/>
      <c r="VM38" s="195"/>
      <c r="VN38" s="195"/>
      <c r="VO38" s="195"/>
      <c r="VP38" s="195"/>
      <c r="VQ38" s="195"/>
      <c r="VR38" s="195"/>
      <c r="VS38" s="195"/>
      <c r="VT38" s="195"/>
      <c r="VU38" s="195"/>
      <c r="VV38" s="195"/>
      <c r="VW38" s="195"/>
      <c r="VX38" s="195"/>
      <c r="VY38" s="195"/>
      <c r="VZ38" s="195"/>
      <c r="WA38" s="195"/>
      <c r="WB38" s="195"/>
      <c r="WC38" s="195"/>
      <c r="WD38" s="195"/>
      <c r="WE38" s="195"/>
      <c r="WF38" s="195"/>
      <c r="WG38" s="195"/>
      <c r="WH38" s="195"/>
      <c r="WI38" s="195"/>
      <c r="WJ38" s="195"/>
      <c r="WK38" s="195"/>
      <c r="WL38" s="195"/>
      <c r="WM38" s="195"/>
      <c r="WN38" s="195"/>
      <c r="WO38" s="195"/>
      <c r="WP38" s="195"/>
      <c r="WQ38" s="195"/>
      <c r="WR38" s="195"/>
      <c r="WS38" s="195"/>
      <c r="WT38" s="195"/>
      <c r="WU38" s="195"/>
      <c r="WV38" s="195"/>
      <c r="WW38" s="195"/>
      <c r="WX38" s="195"/>
      <c r="WY38" s="195"/>
      <c r="WZ38" s="195"/>
      <c r="XA38" s="195"/>
      <c r="XB38" s="195"/>
      <c r="XC38" s="195"/>
      <c r="XD38" s="195"/>
      <c r="XE38" s="195"/>
      <c r="XF38" s="195"/>
      <c r="XG38" s="195"/>
      <c r="XH38" s="195"/>
      <c r="XI38" s="195"/>
      <c r="XJ38" s="195"/>
      <c r="XK38" s="195"/>
      <c r="XL38" s="195"/>
      <c r="XM38" s="195"/>
      <c r="XN38" s="195"/>
      <c r="XO38" s="195"/>
      <c r="XP38" s="195"/>
      <c r="XQ38" s="195"/>
      <c r="XR38" s="195"/>
      <c r="XS38" s="195"/>
      <c r="XT38" s="195"/>
      <c r="XU38" s="195"/>
      <c r="XV38" s="195"/>
      <c r="XW38" s="195"/>
      <c r="XX38" s="195"/>
      <c r="XY38" s="195"/>
      <c r="XZ38" s="195"/>
      <c r="YA38" s="195"/>
      <c r="YB38" s="195"/>
      <c r="YC38" s="195"/>
      <c r="YD38" s="195"/>
      <c r="YE38" s="195"/>
      <c r="YF38" s="195"/>
      <c r="YG38" s="195"/>
      <c r="YH38" s="195"/>
      <c r="YI38" s="195"/>
      <c r="YJ38" s="195"/>
      <c r="YK38" s="195"/>
      <c r="YL38" s="195"/>
      <c r="YM38" s="195"/>
      <c r="YN38" s="195"/>
      <c r="YO38" s="195"/>
      <c r="YP38" s="195"/>
      <c r="YQ38" s="195"/>
      <c r="YR38" s="195"/>
      <c r="YS38" s="195"/>
      <c r="YT38" s="195"/>
      <c r="YU38" s="195"/>
      <c r="YV38" s="195"/>
      <c r="YW38" s="195"/>
      <c r="YX38" s="195"/>
      <c r="YY38" s="195"/>
      <c r="YZ38" s="195"/>
      <c r="ZA38" s="195"/>
      <c r="ZB38" s="195"/>
      <c r="ZC38" s="195"/>
      <c r="ZD38" s="195"/>
      <c r="ZE38" s="195"/>
      <c r="ZF38" s="195"/>
      <c r="ZG38" s="195"/>
      <c r="ZH38" s="195"/>
      <c r="ZI38" s="195"/>
      <c r="ZJ38" s="195"/>
      <c r="ZK38" s="195"/>
      <c r="ZL38" s="195"/>
      <c r="ZM38" s="195"/>
      <c r="ZN38" s="195"/>
      <c r="ZO38" s="195"/>
      <c r="ZP38" s="195"/>
      <c r="ZQ38" s="195"/>
      <c r="ZR38" s="195"/>
      <c r="ZS38" s="195"/>
      <c r="ZT38" s="195"/>
      <c r="ZU38" s="195"/>
      <c r="ZV38" s="195"/>
      <c r="ZW38" s="195"/>
      <c r="ZX38" s="195"/>
      <c r="ZY38" s="195"/>
      <c r="ZZ38" s="195"/>
      <c r="AAA38" s="195"/>
      <c r="AAB38" s="195"/>
      <c r="AAC38" s="195"/>
      <c r="AAD38" s="195"/>
      <c r="AAE38" s="195"/>
      <c r="AAF38" s="195"/>
      <c r="AAG38" s="195"/>
      <c r="AAH38" s="195"/>
      <c r="AAI38" s="195"/>
      <c r="AAJ38" s="195"/>
      <c r="AAK38" s="195"/>
      <c r="AAL38" s="195"/>
      <c r="AAM38" s="195"/>
      <c r="AAN38" s="195"/>
      <c r="AAO38" s="195"/>
      <c r="AAP38" s="195"/>
      <c r="AAQ38" s="195"/>
      <c r="AAR38" s="195"/>
      <c r="AAS38" s="195"/>
      <c r="AAT38" s="195"/>
      <c r="AAU38" s="195"/>
      <c r="AAV38" s="195"/>
      <c r="AAW38" s="195"/>
      <c r="AAX38" s="195"/>
      <c r="AAY38" s="195"/>
      <c r="AAZ38" s="195"/>
      <c r="ABA38" s="195"/>
      <c r="ABB38" s="195"/>
      <c r="ABC38" s="195"/>
      <c r="ABD38" s="195"/>
      <c r="ABE38" s="195"/>
      <c r="ABF38" s="195"/>
      <c r="ABG38" s="195"/>
      <c r="ABH38" s="195"/>
      <c r="ABI38" s="195"/>
      <c r="ABJ38" s="195"/>
      <c r="ABK38" s="195"/>
      <c r="ABL38" s="195"/>
      <c r="ABM38" s="195"/>
      <c r="ABN38" s="195"/>
      <c r="ABO38" s="195"/>
      <c r="ABP38" s="195"/>
      <c r="ABQ38" s="195"/>
      <c r="ABR38" s="195"/>
      <c r="ABS38" s="195"/>
      <c r="ABT38" s="195"/>
      <c r="ABU38" s="195"/>
      <c r="ABV38" s="195"/>
      <c r="ABW38" s="195"/>
      <c r="ABX38" s="195"/>
      <c r="ABY38" s="195"/>
      <c r="ABZ38" s="195"/>
      <c r="ACA38" s="195"/>
      <c r="ACB38" s="195"/>
      <c r="ACC38" s="195"/>
      <c r="ACD38" s="195"/>
      <c r="ACE38" s="195"/>
      <c r="ACF38" s="195"/>
      <c r="ACG38" s="195"/>
      <c r="ACH38" s="195"/>
      <c r="ACI38" s="195"/>
      <c r="ACJ38" s="195"/>
      <c r="ACK38" s="195"/>
      <c r="ACL38" s="195"/>
      <c r="ACM38" s="195"/>
      <c r="ACN38" s="195"/>
      <c r="ACO38" s="195"/>
      <c r="ACP38" s="195"/>
      <c r="ACQ38" s="195"/>
      <c r="ACR38" s="195"/>
      <c r="ACS38" s="195"/>
      <c r="ACT38" s="195"/>
      <c r="ACU38" s="195"/>
      <c r="ACV38" s="195"/>
      <c r="ACW38" s="195"/>
      <c r="ACX38" s="195"/>
      <c r="ACY38" s="195"/>
      <c r="ACZ38" s="195"/>
      <c r="ADA38" s="195"/>
      <c r="ADB38" s="195"/>
      <c r="ADC38" s="195"/>
      <c r="ADD38" s="195"/>
      <c r="ADE38" s="195"/>
      <c r="ADF38" s="195"/>
      <c r="ADG38" s="195"/>
      <c r="ADH38" s="195"/>
      <c r="ADI38" s="195"/>
      <c r="ADJ38" s="195"/>
      <c r="ADK38" s="195"/>
      <c r="ADL38" s="195"/>
      <c r="ADM38" s="195"/>
      <c r="ADN38" s="195"/>
      <c r="ADO38" s="195"/>
      <c r="ADP38" s="195"/>
      <c r="ADQ38" s="195"/>
      <c r="ADR38" s="195"/>
      <c r="ADS38" s="195"/>
      <c r="ADT38" s="195"/>
      <c r="ADU38" s="195"/>
      <c r="ADV38" s="195"/>
      <c r="ADW38" s="195"/>
      <c r="ADX38" s="195"/>
      <c r="ADY38" s="195"/>
      <c r="ADZ38" s="195"/>
      <c r="AEA38" s="195"/>
      <c r="AEB38" s="195"/>
      <c r="AEC38" s="195"/>
      <c r="AED38" s="195"/>
      <c r="AEE38" s="195"/>
      <c r="AEF38" s="195"/>
      <c r="AEG38" s="195"/>
      <c r="AEH38" s="195"/>
      <c r="AEI38" s="195"/>
      <c r="AEJ38" s="195"/>
      <c r="AEK38" s="195"/>
      <c r="AEL38" s="195"/>
      <c r="AEM38" s="195"/>
      <c r="AEN38" s="195"/>
      <c r="AEO38" s="195"/>
      <c r="AEP38" s="195"/>
      <c r="AEQ38" s="195"/>
      <c r="AER38" s="195"/>
      <c r="AES38" s="195"/>
      <c r="AET38" s="195"/>
      <c r="AEU38" s="195"/>
      <c r="AEV38" s="195"/>
      <c r="AEW38" s="195"/>
      <c r="AEX38" s="195"/>
      <c r="AEY38" s="195"/>
      <c r="AEZ38" s="195"/>
      <c r="AFA38" s="195"/>
      <c r="AFB38" s="195"/>
      <c r="AFC38" s="195"/>
      <c r="AFD38" s="195"/>
      <c r="AFE38" s="195"/>
      <c r="AFF38" s="195"/>
      <c r="AFG38" s="195"/>
      <c r="AFH38" s="195"/>
      <c r="AFI38" s="195"/>
      <c r="AFJ38" s="195"/>
      <c r="AFK38" s="195"/>
      <c r="AFL38" s="195"/>
      <c r="AFM38" s="195"/>
      <c r="AFN38" s="195"/>
      <c r="AFO38" s="195"/>
      <c r="AFP38" s="195"/>
      <c r="AFQ38" s="195"/>
      <c r="AFR38" s="195"/>
      <c r="AFS38" s="195"/>
      <c r="AFT38" s="195"/>
      <c r="AFU38" s="195"/>
      <c r="AFV38" s="195"/>
      <c r="AFW38" s="195"/>
      <c r="AFX38" s="195"/>
      <c r="AFY38" s="195"/>
      <c r="AFZ38" s="195"/>
      <c r="AGA38" s="195"/>
      <c r="AGB38" s="195"/>
      <c r="AGC38" s="195"/>
      <c r="AGD38" s="195"/>
      <c r="AGE38" s="195"/>
      <c r="AGF38" s="195"/>
      <c r="AGG38" s="195"/>
      <c r="AGH38" s="195"/>
      <c r="AGI38" s="195"/>
      <c r="AGJ38" s="195"/>
      <c r="AGK38" s="195"/>
      <c r="AGL38" s="195"/>
      <c r="AGM38" s="195"/>
      <c r="AGN38" s="195"/>
      <c r="AGO38" s="195"/>
      <c r="AGP38" s="195"/>
      <c r="AGQ38" s="195"/>
      <c r="AGR38" s="195"/>
      <c r="AGS38" s="195"/>
      <c r="AGT38" s="195"/>
      <c r="AGU38" s="195"/>
      <c r="AGV38" s="195"/>
      <c r="AGW38" s="195"/>
      <c r="AGX38" s="195"/>
      <c r="AGY38" s="195"/>
      <c r="AGZ38" s="195"/>
      <c r="AHA38" s="195"/>
      <c r="AHB38" s="195"/>
      <c r="AHC38" s="195"/>
      <c r="AHD38" s="195"/>
      <c r="AHE38" s="195"/>
      <c r="AHF38" s="195"/>
      <c r="AHG38" s="195"/>
      <c r="AHH38" s="195"/>
      <c r="AHI38" s="195"/>
      <c r="AHJ38" s="195"/>
      <c r="AHK38" s="195"/>
      <c r="AHL38" s="195"/>
      <c r="AHM38" s="195"/>
      <c r="AHN38" s="195"/>
      <c r="AHO38" s="195"/>
      <c r="AHP38" s="195"/>
      <c r="AHQ38" s="195"/>
      <c r="AHR38" s="195"/>
      <c r="AHS38" s="195"/>
      <c r="AHT38" s="195"/>
      <c r="AHU38" s="195"/>
      <c r="AHV38" s="195"/>
      <c r="AHW38" s="195"/>
      <c r="AHX38" s="195"/>
      <c r="AHY38" s="195"/>
      <c r="AHZ38" s="195"/>
      <c r="AIA38" s="195"/>
      <c r="AIB38" s="195"/>
      <c r="AIC38" s="195"/>
      <c r="AID38" s="195"/>
      <c r="AIE38" s="195"/>
      <c r="AIF38" s="195"/>
      <c r="AIG38" s="195"/>
      <c r="AIH38" s="195"/>
      <c r="AII38" s="195"/>
      <c r="AIJ38" s="195"/>
    </row>
    <row r="39" spans="1:920" s="189" customFormat="1" ht="12.75" customHeight="1">
      <c r="A39" s="188">
        <v>0.12</v>
      </c>
      <c r="B39" s="188">
        <v>0.68</v>
      </c>
      <c r="C39" s="188">
        <f t="shared" ref="C39:D42" si="1">IF(LEN(J39)=0,"",1+ABS((J39*A39)/LEN(J39))+A39)</f>
        <v>444.88</v>
      </c>
      <c r="D39" s="188">
        <f t="shared" si="1"/>
        <v>2460.2200000000003</v>
      </c>
      <c r="E39" s="548" t="s">
        <v>2326</v>
      </c>
      <c r="F39" s="556" t="s">
        <v>2327</v>
      </c>
      <c r="G39" s="550"/>
      <c r="H39" s="555" t="s">
        <v>2305</v>
      </c>
      <c r="I39" s="552">
        <v>414</v>
      </c>
      <c r="J39" s="524">
        <v>-22188</v>
      </c>
      <c r="K39" s="524">
        <v>-21693</v>
      </c>
    </row>
    <row r="40" spans="1:920" ht="12.75" customHeight="1">
      <c r="A40" s="188">
        <v>0.13</v>
      </c>
      <c r="B40" s="188">
        <v>0.69</v>
      </c>
      <c r="C40" s="188">
        <f t="shared" si="1"/>
        <v>248.13</v>
      </c>
      <c r="D40" s="188">
        <f t="shared" si="1"/>
        <v>1421.94</v>
      </c>
      <c r="E40" s="548" t="s">
        <v>2328</v>
      </c>
      <c r="F40" s="556" t="s">
        <v>2329</v>
      </c>
      <c r="G40" s="550"/>
      <c r="H40" s="555" t="s">
        <v>2305</v>
      </c>
      <c r="I40" s="552">
        <v>415</v>
      </c>
      <c r="J40" s="524">
        <v>-11400</v>
      </c>
      <c r="K40" s="524">
        <v>-12350</v>
      </c>
    </row>
    <row r="41" spans="1:920" ht="12.75" customHeight="1">
      <c r="A41" s="188">
        <v>0.14000000000000001</v>
      </c>
      <c r="B41" s="188">
        <v>0.7</v>
      </c>
      <c r="C41" s="188">
        <f t="shared" si="1"/>
        <v>2234.4433333333336</v>
      </c>
      <c r="D41" s="188">
        <f t="shared" si="1"/>
        <v>9892.35</v>
      </c>
      <c r="E41" s="548" t="s">
        <v>2330</v>
      </c>
      <c r="F41" s="556" t="s">
        <v>2331</v>
      </c>
      <c r="G41" s="806"/>
      <c r="H41" s="555" t="s">
        <v>2305</v>
      </c>
      <c r="I41" s="552">
        <v>416</v>
      </c>
      <c r="J41" s="524">
        <v>-95713</v>
      </c>
      <c r="K41" s="524">
        <v>-84777</v>
      </c>
    </row>
    <row r="42" spans="1:920" ht="12.75" customHeight="1">
      <c r="A42" s="188">
        <v>0.15</v>
      </c>
      <c r="B42" s="188">
        <v>0.71</v>
      </c>
      <c r="C42" s="188" t="str">
        <f t="shared" si="1"/>
        <v/>
      </c>
      <c r="D42" s="188" t="str">
        <f t="shared" si="1"/>
        <v/>
      </c>
      <c r="E42" s="807" t="s">
        <v>2332</v>
      </c>
      <c r="F42" s="556" t="s">
        <v>2333</v>
      </c>
      <c r="G42" s="806"/>
      <c r="H42" s="555" t="s">
        <v>2305</v>
      </c>
      <c r="I42" s="552">
        <v>417</v>
      </c>
      <c r="J42" s="524"/>
      <c r="K42" s="545"/>
    </row>
    <row r="43" spans="1:920" ht="12.75" customHeight="1">
      <c r="A43" s="188">
        <v>0.16</v>
      </c>
      <c r="B43" s="188">
        <v>0.72</v>
      </c>
      <c r="C43" s="188">
        <f t="shared" ref="C43:D60" si="2">IF(LEN(J43)=0,"",1+ABS((J43*A43)/LEN(J43))+A43)</f>
        <v>30722.074285714283</v>
      </c>
      <c r="D43" s="188">
        <f t="shared" si="2"/>
        <v>74099.8</v>
      </c>
      <c r="E43" s="807" t="s">
        <v>2334</v>
      </c>
      <c r="F43" s="808" t="s">
        <v>2335</v>
      </c>
      <c r="G43" s="806"/>
      <c r="H43" s="555" t="s">
        <v>2302</v>
      </c>
      <c r="I43" s="552">
        <v>418</v>
      </c>
      <c r="J43" s="524">
        <v>1344040</v>
      </c>
      <c r="K43" s="545">
        <v>617484</v>
      </c>
    </row>
    <row r="44" spans="1:920" s="189" customFormat="1" ht="12.75" customHeight="1">
      <c r="A44" s="188">
        <v>0.17</v>
      </c>
      <c r="B44" s="188">
        <v>0.73</v>
      </c>
      <c r="C44" s="188">
        <f t="shared" si="2"/>
        <v>768.35166666666669</v>
      </c>
      <c r="D44" s="188">
        <f t="shared" si="2"/>
        <v>2591.77</v>
      </c>
      <c r="E44" s="807" t="s">
        <v>2336</v>
      </c>
      <c r="F44" s="556" t="s">
        <v>2337</v>
      </c>
      <c r="G44" s="433"/>
      <c r="H44" s="555" t="s">
        <v>2305</v>
      </c>
      <c r="I44" s="552">
        <v>419</v>
      </c>
      <c r="J44" s="524">
        <v>-27077</v>
      </c>
      <c r="K44" s="545">
        <v>-21288</v>
      </c>
    </row>
    <row r="45" spans="1:920" s="189" customFormat="1" ht="38.25">
      <c r="A45" s="188">
        <v>0.18</v>
      </c>
      <c r="B45" s="188">
        <v>0.74</v>
      </c>
      <c r="C45" s="188">
        <f t="shared" si="2"/>
        <v>8594.83</v>
      </c>
      <c r="D45" s="188">
        <f t="shared" si="2"/>
        <v>153634.61999999997</v>
      </c>
      <c r="E45" s="809" t="s">
        <v>2142</v>
      </c>
      <c r="F45" s="810" t="s">
        <v>2338</v>
      </c>
      <c r="G45" s="433"/>
      <c r="H45" s="815" t="s">
        <v>2339</v>
      </c>
      <c r="I45" s="533">
        <v>420</v>
      </c>
      <c r="J45" s="538">
        <f>IFERROR(IF(AND(J22:J34,J39:J44)="","",(SUM((J22)+SUM(J23)
                                                                                  +SUM(J24)+SUM(J25)
                                                                                   +SUM(J26)+SUM(J27)
                                                                                   +SUM(J28)+SUM(J29)
                                                                                    +SUM(J30)+SUM(J31)
                                                                                    +SUM(J32)+SUM(J33)
                                                                                   +SUM(J34)+SUM(J39)
                                                                                   +SUM(J40)+SUM(J41)
                                                                                   +SUM(J42)+SUM(J43)+SUM(J44)))),"")</f>
        <v>286455</v>
      </c>
      <c r="K45" s="893">
        <f>IFERROR(IF(AND(K22:K34,K39:K44)="","",(SUM((K22)+SUM(K23)
                                                                                  +SUM(K24)+SUM(K25)
                                                                                   +SUM(K26)+SUM(K27)
                                                                                   +SUM(K28)+SUM(K29)
                                                                                    +SUM(K30)+SUM(K31)
                                                                                    +SUM(K32)+SUM(K33)
                                                                                   +SUM(K34)+SUM(K39)
                                                                                   +SUM(K40)+SUM(K41)
                                                                                   +SUM(K42)+SUM(K43)+SUM(K44)))),"")</f>
        <v>1453284</v>
      </c>
    </row>
    <row r="46" spans="1:920" s="189" customFormat="1" ht="12.75" customHeight="1">
      <c r="A46" s="188">
        <v>0.19</v>
      </c>
      <c r="B46" s="188">
        <v>0.75</v>
      </c>
      <c r="C46" s="188" t="str">
        <f t="shared" si="2"/>
        <v/>
      </c>
      <c r="D46" s="188" t="str">
        <f t="shared" si="2"/>
        <v/>
      </c>
      <c r="E46" s="807"/>
      <c r="F46" s="811"/>
      <c r="G46" s="433"/>
      <c r="H46" s="555"/>
      <c r="I46" s="552"/>
      <c r="J46" s="435"/>
      <c r="K46" s="435"/>
    </row>
    <row r="47" spans="1:920" s="189" customFormat="1" ht="12.75" customHeight="1">
      <c r="A47" s="188">
        <v>0.2</v>
      </c>
      <c r="B47" s="188">
        <v>0.76</v>
      </c>
      <c r="C47" s="188" t="str">
        <f t="shared" si="2"/>
        <v/>
      </c>
      <c r="D47" s="188" t="str">
        <f t="shared" si="2"/>
        <v/>
      </c>
      <c r="E47" s="809" t="s">
        <v>2093</v>
      </c>
      <c r="F47" s="812" t="s">
        <v>2340</v>
      </c>
      <c r="G47" s="433"/>
      <c r="H47" s="813"/>
      <c r="I47" s="552"/>
      <c r="J47" s="435"/>
      <c r="K47" s="435"/>
    </row>
    <row r="48" spans="1:920" s="189" customFormat="1" ht="12.75" customHeight="1">
      <c r="A48" s="188">
        <v>0.21</v>
      </c>
      <c r="B48" s="188">
        <v>0.77</v>
      </c>
      <c r="C48" s="188" t="str">
        <f t="shared" si="2"/>
        <v/>
      </c>
      <c r="D48" s="188" t="str">
        <f t="shared" si="2"/>
        <v/>
      </c>
      <c r="E48" s="807" t="s">
        <v>2096</v>
      </c>
      <c r="F48" s="814" t="s">
        <v>2341</v>
      </c>
      <c r="G48" s="433"/>
      <c r="H48" s="555" t="s">
        <v>2302</v>
      </c>
      <c r="I48" s="552">
        <v>421</v>
      </c>
      <c r="J48" s="436"/>
      <c r="K48" s="436"/>
    </row>
    <row r="49" spans="1:11" s="189" customFormat="1" ht="12.75" customHeight="1">
      <c r="A49" s="188">
        <v>0.22</v>
      </c>
      <c r="B49" s="188">
        <v>0.78</v>
      </c>
      <c r="C49" s="188" t="str">
        <f t="shared" si="2"/>
        <v/>
      </c>
      <c r="D49" s="188" t="str">
        <f t="shared" si="2"/>
        <v/>
      </c>
      <c r="E49" s="807" t="s">
        <v>2098</v>
      </c>
      <c r="F49" s="814" t="s">
        <v>2342</v>
      </c>
      <c r="G49" s="433"/>
      <c r="H49" s="555" t="s">
        <v>2305</v>
      </c>
      <c r="I49" s="552">
        <v>422</v>
      </c>
      <c r="J49" s="436"/>
      <c r="K49" s="436"/>
    </row>
    <row r="50" spans="1:11" s="189" customFormat="1" ht="12.75" customHeight="1">
      <c r="A50" s="188">
        <v>0.23</v>
      </c>
      <c r="B50" s="188">
        <v>0.79</v>
      </c>
      <c r="C50" s="188" t="str">
        <f t="shared" si="2"/>
        <v/>
      </c>
      <c r="D50" s="188" t="str">
        <f t="shared" si="2"/>
        <v/>
      </c>
      <c r="E50" s="807" t="s">
        <v>2286</v>
      </c>
      <c r="F50" s="808" t="s">
        <v>2343</v>
      </c>
      <c r="G50" s="433"/>
      <c r="H50" s="555" t="s">
        <v>2305</v>
      </c>
      <c r="I50" s="552">
        <v>423</v>
      </c>
      <c r="J50" s="436"/>
      <c r="K50" s="436"/>
    </row>
    <row r="51" spans="1:11" s="189" customFormat="1" ht="12.75" customHeight="1">
      <c r="A51" s="188">
        <v>0.24</v>
      </c>
      <c r="B51" s="188">
        <v>0.8</v>
      </c>
      <c r="C51" s="188" t="str">
        <f t="shared" si="2"/>
        <v/>
      </c>
      <c r="D51" s="188" t="str">
        <f t="shared" si="2"/>
        <v/>
      </c>
      <c r="E51" s="807" t="s">
        <v>2344</v>
      </c>
      <c r="F51" s="811" t="s">
        <v>2345</v>
      </c>
      <c r="G51" s="433"/>
      <c r="H51" s="555" t="s">
        <v>2305</v>
      </c>
      <c r="I51" s="552">
        <v>424</v>
      </c>
      <c r="J51" s="436"/>
      <c r="K51" s="436"/>
    </row>
    <row r="52" spans="1:11" s="189" customFormat="1" ht="12.75" customHeight="1">
      <c r="A52" s="188">
        <v>0.25</v>
      </c>
      <c r="B52" s="188">
        <v>0.81</v>
      </c>
      <c r="C52" s="188" t="str">
        <f t="shared" si="2"/>
        <v/>
      </c>
      <c r="D52" s="188" t="str">
        <f t="shared" si="2"/>
        <v/>
      </c>
      <c r="E52" s="807" t="s">
        <v>2346</v>
      </c>
      <c r="F52" s="808" t="s">
        <v>2347</v>
      </c>
      <c r="G52" s="433"/>
      <c r="H52" s="555" t="s">
        <v>2302</v>
      </c>
      <c r="I52" s="552">
        <v>425</v>
      </c>
      <c r="J52" s="436"/>
      <c r="K52" s="436"/>
    </row>
    <row r="53" spans="1:11" s="189" customFormat="1" ht="12.75" customHeight="1">
      <c r="A53" s="188">
        <v>0.26</v>
      </c>
      <c r="B53" s="188">
        <v>0.82</v>
      </c>
      <c r="C53" s="188" t="str">
        <f t="shared" si="2"/>
        <v/>
      </c>
      <c r="D53" s="188" t="str">
        <f t="shared" si="2"/>
        <v/>
      </c>
      <c r="E53" s="807" t="s">
        <v>2348</v>
      </c>
      <c r="F53" s="556" t="s">
        <v>2349</v>
      </c>
      <c r="G53" s="433"/>
      <c r="H53" s="555" t="s">
        <v>2305</v>
      </c>
      <c r="I53" s="552">
        <v>426</v>
      </c>
      <c r="J53" s="436"/>
      <c r="K53" s="436"/>
    </row>
    <row r="54" spans="1:11" s="189" customFormat="1" ht="25.5">
      <c r="A54" s="188">
        <v>0.27</v>
      </c>
      <c r="B54" s="188">
        <v>0.83</v>
      </c>
      <c r="C54" s="188" t="str">
        <f t="shared" si="2"/>
        <v/>
      </c>
      <c r="D54" s="188" t="str">
        <f t="shared" si="2"/>
        <v/>
      </c>
      <c r="E54" s="815" t="s">
        <v>2234</v>
      </c>
      <c r="F54" s="810" t="s">
        <v>2350</v>
      </c>
      <c r="G54" s="433"/>
      <c r="H54" s="815" t="s">
        <v>2339</v>
      </c>
      <c r="I54" s="533">
        <v>427</v>
      </c>
      <c r="J54" s="536" t="str">
        <f>IFERROR(IF(AND(J48:J53)="","",(SUM((J48)+SUM(J49)+SUM(J50)+SUM(J51)+SUM(J52)+SUM(J53)))),"")</f>
        <v/>
      </c>
      <c r="K54" s="536" t="str">
        <f>IFERROR(IF(AND(K48:K53)="","",(SUM((K48)+SUM(K49)+SUM(K50)+SUM(K51)+SUM(K52)+SUM(K53)))),"")</f>
        <v/>
      </c>
    </row>
    <row r="55" spans="1:11" s="189" customFormat="1" ht="12.75" customHeight="1">
      <c r="A55" s="188">
        <v>0.28000000000000003</v>
      </c>
      <c r="B55" s="188">
        <v>0.84</v>
      </c>
      <c r="C55" s="188" t="str">
        <f t="shared" si="2"/>
        <v/>
      </c>
      <c r="D55" s="188" t="str">
        <f t="shared" si="2"/>
        <v/>
      </c>
      <c r="E55" s="816"/>
      <c r="F55" s="817"/>
      <c r="G55" s="433"/>
      <c r="H55" s="555"/>
      <c r="I55" s="552"/>
      <c r="J55" s="435"/>
      <c r="K55" s="435"/>
    </row>
    <row r="56" spans="1:11" s="189" customFormat="1" ht="25.5">
      <c r="A56" s="188">
        <v>0.28999999999999998</v>
      </c>
      <c r="B56" s="188">
        <v>0.85</v>
      </c>
      <c r="C56" s="188">
        <f t="shared" si="2"/>
        <v>13846.615</v>
      </c>
      <c r="D56" s="188">
        <f t="shared" si="2"/>
        <v>176472.05</v>
      </c>
      <c r="E56" s="816" t="s">
        <v>2262</v>
      </c>
      <c r="F56" s="818" t="s">
        <v>2351</v>
      </c>
      <c r="G56" s="433"/>
      <c r="H56" s="815" t="s">
        <v>2339</v>
      </c>
      <c r="I56" s="533">
        <v>428</v>
      </c>
      <c r="J56" s="536">
        <f>IFERROR(IF(AND(J45,J54)="","",SUM(J45,J54)),"")</f>
        <v>286455</v>
      </c>
      <c r="K56" s="536">
        <f>IFERROR(IF(AND(K45,K54)="","",SUM(K45,K54)),"")</f>
        <v>1453284</v>
      </c>
    </row>
    <row r="57" spans="1:11" s="189" customFormat="1" ht="12.75" customHeight="1">
      <c r="A57" s="188">
        <v>0.3</v>
      </c>
      <c r="B57" s="188">
        <v>0.86</v>
      </c>
      <c r="C57" s="188" t="str">
        <f t="shared" si="2"/>
        <v/>
      </c>
      <c r="D57" s="188" t="str">
        <f t="shared" si="2"/>
        <v/>
      </c>
      <c r="E57" s="816"/>
      <c r="F57" s="817"/>
      <c r="G57" s="433"/>
      <c r="H57" s="555"/>
      <c r="I57" s="552"/>
      <c r="J57" s="435"/>
      <c r="K57" s="435"/>
    </row>
    <row r="58" spans="1:11" s="189" customFormat="1" ht="12.75" customHeight="1">
      <c r="A58" s="188">
        <v>0.31</v>
      </c>
      <c r="B58" s="188">
        <v>0.87</v>
      </c>
      <c r="C58" s="188">
        <f t="shared" si="2"/>
        <v>120732.36</v>
      </c>
      <c r="D58" s="188">
        <f t="shared" si="2"/>
        <v>158205.27999999997</v>
      </c>
      <c r="E58" s="816" t="s">
        <v>2264</v>
      </c>
      <c r="F58" s="818" t="s">
        <v>2352</v>
      </c>
      <c r="G58" s="433"/>
      <c r="H58" s="815" t="s">
        <v>2339</v>
      </c>
      <c r="I58" s="533">
        <v>429</v>
      </c>
      <c r="J58" s="892">
        <v>2726185</v>
      </c>
      <c r="K58" s="892">
        <v>1272901</v>
      </c>
    </row>
    <row r="59" spans="1:11" s="189" customFormat="1" ht="25.5">
      <c r="A59" s="188">
        <v>0.32</v>
      </c>
      <c r="B59" s="188">
        <v>0.88</v>
      </c>
      <c r="C59" s="188" t="str">
        <f t="shared" si="2"/>
        <v/>
      </c>
      <c r="D59" s="188" t="str">
        <f t="shared" si="2"/>
        <v/>
      </c>
      <c r="E59" s="816" t="s">
        <v>2266</v>
      </c>
      <c r="F59" s="818" t="s">
        <v>2353</v>
      </c>
      <c r="G59" s="433"/>
      <c r="H59" s="815" t="s">
        <v>2339</v>
      </c>
      <c r="I59" s="533">
        <v>430</v>
      </c>
      <c r="J59" s="892"/>
      <c r="K59" s="892"/>
    </row>
    <row r="60" spans="1:11" s="189" customFormat="1">
      <c r="A60" s="188">
        <v>0.33</v>
      </c>
      <c r="B60" s="188">
        <v>0.89</v>
      </c>
      <c r="C60" s="188">
        <f t="shared" si="2"/>
        <v>142025.78714285715</v>
      </c>
      <c r="D60" s="188">
        <f t="shared" si="2"/>
        <v>346616.84</v>
      </c>
      <c r="E60" s="816" t="s">
        <v>2270</v>
      </c>
      <c r="F60" s="818" t="s">
        <v>2354</v>
      </c>
      <c r="G60" s="433"/>
      <c r="H60" s="815" t="s">
        <v>2339</v>
      </c>
      <c r="I60" s="533">
        <v>431</v>
      </c>
      <c r="J60" s="536">
        <f>IFERROR(IF(AND(J56,J58,J59)="","",SUM(J56,J58,J59)),"")</f>
        <v>3012640</v>
      </c>
      <c r="K60" s="536">
        <f>IFERROR(IF(AND(K56,K58,K59)="","",SUM(K56,K58,K59)),"")</f>
        <v>2726185</v>
      </c>
    </row>
    <row r="61" spans="1:11" s="189" customFormat="1" ht="12.75" customHeight="1">
      <c r="A61" s="188"/>
      <c r="B61" s="188"/>
      <c r="C61" s="188">
        <f>IF(ISERROR(ABS(LOG(ABS(SUM(C22:C60)),EXP(3)))),"",ABS(LOG(ABS(SUM(C22:C60)),EXP(3))))</f>
        <v>4.2516058173908036</v>
      </c>
      <c r="D61" s="188">
        <f>IF(ISERROR(ABS(LOG(ABS(SUM(D22:D60)),EXP(3)))),"",ABS(LOG(ABS(SUM(D22:D60)),EXP(3))))</f>
        <v>4.7055623183737394</v>
      </c>
      <c r="E61" s="159"/>
      <c r="F61" s="159"/>
      <c r="G61" s="159"/>
      <c r="H61" s="159"/>
      <c r="I61" s="159"/>
      <c r="J61" s="159"/>
      <c r="K61" s="159"/>
    </row>
    <row r="62" spans="1:11" s="189" customFormat="1" ht="12.75" customHeight="1">
      <c r="A62" s="188"/>
      <c r="B62" s="188"/>
      <c r="C62" s="207" t="str">
        <f>IF(ISERROR(IF(ISERROR(MID(C61,FIND(".",C61,1)+11,13)),MID(C61,FIND(",",C61,1)+11,13),MID(C61,FIND(".",C61,1)+11,13))),"",IF(ISERROR(MID(C61,FIND(".",C61,1)+11,13)),MID(C61,FIND(",",C61,1)+11,13),MID(C61,FIND(".",C61,1)+11,13)))</f>
        <v>908</v>
      </c>
      <c r="D62" s="207" t="str">
        <f>IF(ISERROR(IF(ISERROR(MID(D61,FIND(".",D61,1)+11,13)),MID(D61,FIND(",",D61,1)+11,13),MID(D61,FIND(".",D61,1)+11,13))),"",IF(ISERROR(MID(D61,FIND(".",D61,1)+11,13)),MID(D61,FIND(",",D61,1)+11,13),MID(D61,FIND(".",D61,1)+11,13)))</f>
        <v>7374</v>
      </c>
      <c r="E62" s="159"/>
      <c r="F62" s="159"/>
      <c r="G62" s="159"/>
      <c r="H62" s="159"/>
      <c r="I62" s="159"/>
      <c r="J62" s="159"/>
      <c r="K62" s="159"/>
    </row>
    <row r="63" spans="1:11" s="189" customFormat="1" ht="12.75" customHeight="1">
      <c r="A63" s="188"/>
      <c r="B63" s="188"/>
      <c r="C63" s="207"/>
      <c r="D63" s="207"/>
      <c r="E63" s="565" t="str">
        <f>IF(OR(OsnPodaci!A10="",TEXT(OsnPodaci!D58,"dd.mm.yyyy.")=""),"",OsnPodaci!A10 &amp; ", " &amp;TEXT(OsnPodaci!D58,"dd.mm.yyyy."))</f>
        <v>Sarajevo-Novi Grad, 28.02.2023.</v>
      </c>
      <c r="F63" s="159"/>
      <c r="G63" s="403" t="str">
        <f>IF(OsnPodaci!A67="","",LEFT(OsnPodaci!A67,FIND(";",OsnPodaci!A67,1)-1))</f>
        <v>HADŽIALIĆ (AHMET) AZIRA</v>
      </c>
      <c r="H63" s="159"/>
      <c r="I63" s="159"/>
      <c r="J63" s="159"/>
      <c r="K63" s="404" t="str">
        <f>IF(OR(OsnPodaci!A31="",OsnPodaci!B31=""),"",OsnPodaci!A31&amp;" "&amp;OsnPodaci!B31)</f>
        <v>Dženan Prevljak</v>
      </c>
    </row>
    <row r="64" spans="1:11" s="189" customFormat="1" ht="12.75" customHeight="1">
      <c r="A64" s="188"/>
      <c r="B64" s="188"/>
      <c r="C64" s="188"/>
      <c r="D64" s="188"/>
      <c r="E64" s="391" t="s">
        <v>2205</v>
      </c>
      <c r="F64" s="405"/>
      <c r="G64" s="566" t="s">
        <v>2206</v>
      </c>
      <c r="H64" s="406"/>
      <c r="I64" s="405"/>
      <c r="J64" s="1035" t="s">
        <v>2207</v>
      </c>
      <c r="K64" s="1035"/>
    </row>
    <row r="65" spans="1:920" ht="15.75" customHeight="1">
      <c r="E65" s="402"/>
      <c r="F65" s="405"/>
      <c r="G65" s="190"/>
      <c r="H65" s="403"/>
      <c r="I65" s="405"/>
      <c r="J65" s="1035"/>
      <c r="K65" s="1035"/>
    </row>
    <row r="66" spans="1:920" s="179" customFormat="1">
      <c r="A66" s="177"/>
      <c r="B66" s="177"/>
      <c r="C66" s="177"/>
      <c r="D66" s="177"/>
      <c r="E66" s="402"/>
      <c r="F66" s="405"/>
      <c r="G66" s="408" t="str">
        <f>IF(OsnPodaci!A67="","",MID(OsnPodaci!A67,FIND("licenca br.",OsnPodaci!A67,1)+11,15))</f>
        <v xml:space="preserve"> 4263/5</v>
      </c>
      <c r="H66" s="408"/>
      <c r="I66" s="405"/>
      <c r="J66" s="409" t="s">
        <v>2209</v>
      </c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  <c r="IX66" s="178"/>
      <c r="IY66" s="178"/>
      <c r="IZ66" s="178"/>
      <c r="JA66" s="178"/>
      <c r="JB66" s="178"/>
      <c r="JC66" s="178"/>
      <c r="JD66" s="178"/>
      <c r="JE66" s="178"/>
      <c r="JF66" s="178"/>
      <c r="JG66" s="178"/>
      <c r="JH66" s="178"/>
      <c r="JI66" s="178"/>
      <c r="JJ66" s="178"/>
      <c r="JK66" s="178"/>
      <c r="JL66" s="178"/>
      <c r="JM66" s="178"/>
      <c r="JN66" s="178"/>
      <c r="JO66" s="178"/>
      <c r="JP66" s="178"/>
      <c r="JQ66" s="178"/>
      <c r="JR66" s="178"/>
      <c r="JS66" s="178"/>
      <c r="JT66" s="178"/>
      <c r="JU66" s="178"/>
      <c r="JV66" s="178"/>
      <c r="JW66" s="178"/>
      <c r="JX66" s="178"/>
      <c r="JY66" s="178"/>
      <c r="JZ66" s="178"/>
      <c r="KA66" s="178"/>
      <c r="KB66" s="178"/>
      <c r="KC66" s="178"/>
      <c r="KD66" s="178"/>
      <c r="KE66" s="178"/>
      <c r="KF66" s="178"/>
      <c r="KG66" s="178"/>
      <c r="KH66" s="178"/>
      <c r="KI66" s="178"/>
      <c r="KJ66" s="178"/>
      <c r="KK66" s="178"/>
      <c r="KL66" s="178"/>
      <c r="KM66" s="178"/>
      <c r="KN66" s="178"/>
      <c r="KO66" s="178"/>
      <c r="KP66" s="178"/>
      <c r="KQ66" s="178"/>
      <c r="KR66" s="178"/>
      <c r="KS66" s="178"/>
      <c r="KT66" s="178"/>
      <c r="KU66" s="178"/>
      <c r="KV66" s="178"/>
      <c r="KW66" s="178"/>
      <c r="KX66" s="178"/>
      <c r="KY66" s="178"/>
      <c r="KZ66" s="178"/>
      <c r="LA66" s="178"/>
      <c r="LB66" s="178"/>
      <c r="LC66" s="178"/>
      <c r="LD66" s="178"/>
      <c r="LE66" s="178"/>
      <c r="LF66" s="178"/>
      <c r="LG66" s="178"/>
      <c r="LH66" s="178"/>
      <c r="LI66" s="178"/>
      <c r="LJ66" s="178"/>
      <c r="LK66" s="178"/>
      <c r="LL66" s="178"/>
      <c r="LM66" s="178"/>
      <c r="LN66" s="178"/>
      <c r="LO66" s="178"/>
      <c r="LP66" s="178"/>
      <c r="LQ66" s="178"/>
      <c r="LR66" s="178"/>
      <c r="LS66" s="178"/>
      <c r="LT66" s="178"/>
      <c r="LU66" s="178"/>
      <c r="LV66" s="178"/>
      <c r="LW66" s="178"/>
      <c r="LX66" s="178"/>
      <c r="LY66" s="178"/>
      <c r="LZ66" s="178"/>
      <c r="MA66" s="178"/>
      <c r="MB66" s="178"/>
      <c r="MC66" s="178"/>
      <c r="MD66" s="178"/>
      <c r="ME66" s="178"/>
      <c r="MF66" s="178"/>
      <c r="MG66" s="178"/>
      <c r="MH66" s="178"/>
      <c r="MI66" s="178"/>
      <c r="MJ66" s="178"/>
      <c r="MK66" s="178"/>
      <c r="ML66" s="178"/>
      <c r="MM66" s="178"/>
      <c r="MN66" s="178"/>
      <c r="MO66" s="178"/>
      <c r="MP66" s="178"/>
      <c r="MQ66" s="178"/>
      <c r="MR66" s="178"/>
      <c r="MS66" s="178"/>
      <c r="MT66" s="178"/>
      <c r="MU66" s="178"/>
      <c r="MV66" s="178"/>
      <c r="MW66" s="178"/>
      <c r="MX66" s="178"/>
      <c r="MY66" s="178"/>
      <c r="MZ66" s="178"/>
      <c r="NA66" s="178"/>
      <c r="NB66" s="178"/>
      <c r="NC66" s="178"/>
      <c r="ND66" s="178"/>
      <c r="NE66" s="178"/>
      <c r="NF66" s="178"/>
      <c r="NG66" s="178"/>
      <c r="NH66" s="178"/>
      <c r="NI66" s="178"/>
      <c r="NJ66" s="178"/>
      <c r="NK66" s="178"/>
      <c r="NL66" s="178"/>
      <c r="NM66" s="178"/>
      <c r="NN66" s="178"/>
      <c r="NO66" s="178"/>
      <c r="NP66" s="178"/>
      <c r="NQ66" s="178"/>
      <c r="NR66" s="178"/>
      <c r="NS66" s="178"/>
      <c r="NT66" s="178"/>
      <c r="NU66" s="178"/>
      <c r="NV66" s="178"/>
      <c r="NW66" s="178"/>
      <c r="NX66" s="178"/>
      <c r="NY66" s="178"/>
      <c r="NZ66" s="178"/>
      <c r="OA66" s="178"/>
      <c r="OB66" s="178"/>
      <c r="OC66" s="178"/>
      <c r="OD66" s="178"/>
      <c r="OE66" s="178"/>
      <c r="OF66" s="178"/>
      <c r="OG66" s="178"/>
      <c r="OH66" s="178"/>
      <c r="OI66" s="178"/>
      <c r="OJ66" s="178"/>
      <c r="OK66" s="178"/>
      <c r="OL66" s="178"/>
      <c r="OM66" s="178"/>
      <c r="ON66" s="178"/>
      <c r="OO66" s="178"/>
      <c r="OP66" s="178"/>
      <c r="OQ66" s="178"/>
      <c r="OR66" s="178"/>
      <c r="OS66" s="178"/>
      <c r="OT66" s="178"/>
      <c r="OU66" s="178"/>
      <c r="OV66" s="178"/>
      <c r="OW66" s="178"/>
      <c r="OX66" s="178"/>
      <c r="OY66" s="178"/>
      <c r="OZ66" s="178"/>
      <c r="PA66" s="178"/>
      <c r="PB66" s="178"/>
      <c r="PC66" s="178"/>
      <c r="PD66" s="178"/>
      <c r="PE66" s="178"/>
      <c r="PF66" s="178"/>
      <c r="PG66" s="178"/>
      <c r="PH66" s="178"/>
      <c r="PI66" s="178"/>
      <c r="PJ66" s="178"/>
      <c r="PK66" s="178"/>
      <c r="PL66" s="178"/>
      <c r="PM66" s="178"/>
      <c r="PN66" s="178"/>
      <c r="PO66" s="178"/>
      <c r="PP66" s="178"/>
      <c r="PQ66" s="178"/>
      <c r="PR66" s="178"/>
      <c r="PS66" s="178"/>
      <c r="PT66" s="178"/>
      <c r="PU66" s="178"/>
      <c r="PV66" s="178"/>
      <c r="PW66" s="178"/>
      <c r="PX66" s="178"/>
      <c r="PY66" s="178"/>
      <c r="PZ66" s="178"/>
      <c r="QA66" s="178"/>
      <c r="QB66" s="178"/>
      <c r="QC66" s="178"/>
      <c r="QD66" s="178"/>
      <c r="QE66" s="178"/>
      <c r="QF66" s="178"/>
      <c r="QG66" s="178"/>
      <c r="QH66" s="178"/>
      <c r="QI66" s="178"/>
      <c r="QJ66" s="178"/>
      <c r="QK66" s="178"/>
      <c r="QL66" s="178"/>
      <c r="QM66" s="178"/>
      <c r="QN66" s="178"/>
      <c r="QO66" s="178"/>
      <c r="QP66" s="178"/>
      <c r="QQ66" s="178"/>
      <c r="QR66" s="178"/>
      <c r="QS66" s="178"/>
      <c r="QT66" s="178"/>
      <c r="QU66" s="178"/>
      <c r="QV66" s="178"/>
      <c r="QW66" s="178"/>
      <c r="QX66" s="178"/>
      <c r="QY66" s="178"/>
      <c r="QZ66" s="178"/>
      <c r="RA66" s="178"/>
      <c r="RB66" s="178"/>
      <c r="RC66" s="178"/>
      <c r="RD66" s="178"/>
      <c r="RE66" s="178"/>
      <c r="RF66" s="178"/>
      <c r="RG66" s="178"/>
      <c r="RH66" s="178"/>
      <c r="RI66" s="178"/>
      <c r="RJ66" s="178"/>
      <c r="RK66" s="178"/>
      <c r="RL66" s="178"/>
      <c r="RM66" s="178"/>
      <c r="RN66" s="178"/>
      <c r="RO66" s="178"/>
      <c r="RP66" s="178"/>
      <c r="RQ66" s="178"/>
      <c r="RR66" s="178"/>
      <c r="RS66" s="178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  <c r="TY66" s="178"/>
      <c r="TZ66" s="178"/>
      <c r="UA66" s="178"/>
      <c r="UB66" s="178"/>
      <c r="UC66" s="178"/>
      <c r="UD66" s="178"/>
      <c r="UE66" s="178"/>
      <c r="UF66" s="178"/>
      <c r="UG66" s="178"/>
      <c r="UH66" s="178"/>
      <c r="UI66" s="178"/>
      <c r="UJ66" s="178"/>
      <c r="UK66" s="178"/>
      <c r="UL66" s="178"/>
      <c r="UM66" s="178"/>
      <c r="UN66" s="178"/>
      <c r="UO66" s="178"/>
      <c r="UP66" s="178"/>
      <c r="UQ66" s="178"/>
      <c r="UR66" s="178"/>
      <c r="US66" s="178"/>
      <c r="UT66" s="178"/>
      <c r="UU66" s="178"/>
      <c r="UV66" s="178"/>
      <c r="UW66" s="178"/>
      <c r="UX66" s="178"/>
      <c r="UY66" s="178"/>
      <c r="UZ66" s="178"/>
      <c r="VA66" s="178"/>
      <c r="VB66" s="178"/>
      <c r="VC66" s="178"/>
      <c r="VD66" s="178"/>
      <c r="VE66" s="178"/>
      <c r="VF66" s="178"/>
      <c r="VG66" s="178"/>
      <c r="VH66" s="178"/>
      <c r="VI66" s="178"/>
      <c r="VJ66" s="178"/>
      <c r="VK66" s="178"/>
      <c r="VL66" s="178"/>
      <c r="VM66" s="178"/>
      <c r="VN66" s="178"/>
      <c r="VO66" s="178"/>
      <c r="VP66" s="178"/>
      <c r="VQ66" s="178"/>
      <c r="VR66" s="178"/>
      <c r="VS66" s="178"/>
      <c r="VT66" s="178"/>
      <c r="VU66" s="178"/>
      <c r="VV66" s="178"/>
      <c r="VW66" s="178"/>
      <c r="VX66" s="178"/>
      <c r="VY66" s="178"/>
      <c r="VZ66" s="178"/>
      <c r="WA66" s="178"/>
      <c r="WB66" s="178"/>
      <c r="WC66" s="178"/>
      <c r="WD66" s="178"/>
      <c r="WE66" s="178"/>
      <c r="WF66" s="178"/>
      <c r="WG66" s="178"/>
      <c r="WH66" s="178"/>
      <c r="WI66" s="178"/>
      <c r="WJ66" s="178"/>
      <c r="WK66" s="178"/>
      <c r="WL66" s="178"/>
      <c r="WM66" s="178"/>
      <c r="WN66" s="178"/>
      <c r="WO66" s="178"/>
      <c r="WP66" s="178"/>
      <c r="WQ66" s="178"/>
      <c r="WR66" s="178"/>
      <c r="WS66" s="178"/>
      <c r="WT66" s="178"/>
      <c r="WU66" s="178"/>
      <c r="WV66" s="178"/>
      <c r="WW66" s="178"/>
      <c r="WX66" s="178"/>
      <c r="WY66" s="178"/>
      <c r="WZ66" s="178"/>
      <c r="XA66" s="178"/>
      <c r="XB66" s="178"/>
      <c r="XC66" s="178"/>
      <c r="XD66" s="178"/>
      <c r="XE66" s="178"/>
      <c r="XF66" s="178"/>
      <c r="XG66" s="178"/>
      <c r="XH66" s="178"/>
      <c r="XI66" s="178"/>
      <c r="XJ66" s="178"/>
      <c r="XK66" s="178"/>
      <c r="XL66" s="178"/>
      <c r="XM66" s="178"/>
      <c r="XN66" s="178"/>
      <c r="XO66" s="178"/>
      <c r="XP66" s="178"/>
      <c r="XQ66" s="178"/>
      <c r="XR66" s="178"/>
      <c r="XS66" s="178"/>
      <c r="XT66" s="178"/>
      <c r="XU66" s="178"/>
      <c r="XV66" s="178"/>
      <c r="XW66" s="178"/>
      <c r="XX66" s="178"/>
      <c r="XY66" s="178"/>
      <c r="XZ66" s="178"/>
      <c r="YA66" s="178"/>
      <c r="YB66" s="178"/>
      <c r="YC66" s="178"/>
      <c r="YD66" s="178"/>
      <c r="YE66" s="178"/>
      <c r="YF66" s="178"/>
      <c r="YG66" s="178"/>
      <c r="YH66" s="178"/>
      <c r="YI66" s="178"/>
      <c r="YJ66" s="178"/>
      <c r="YK66" s="178"/>
      <c r="YL66" s="178"/>
      <c r="YM66" s="178"/>
      <c r="YN66" s="178"/>
      <c r="YO66" s="178"/>
      <c r="YP66" s="178"/>
      <c r="YQ66" s="178"/>
      <c r="YR66" s="178"/>
      <c r="YS66" s="178"/>
      <c r="YT66" s="178"/>
      <c r="YU66" s="178"/>
      <c r="YV66" s="178"/>
      <c r="YW66" s="178"/>
      <c r="YX66" s="178"/>
      <c r="YY66" s="178"/>
      <c r="YZ66" s="178"/>
      <c r="ZA66" s="178"/>
      <c r="ZB66" s="178"/>
      <c r="ZC66" s="178"/>
      <c r="ZD66" s="178"/>
      <c r="ZE66" s="178"/>
      <c r="ZF66" s="178"/>
      <c r="ZG66" s="178"/>
      <c r="ZH66" s="178"/>
      <c r="ZI66" s="178"/>
      <c r="ZJ66" s="178"/>
      <c r="ZK66" s="178"/>
      <c r="ZL66" s="178"/>
      <c r="ZM66" s="178"/>
      <c r="ZN66" s="178"/>
      <c r="ZO66" s="178"/>
      <c r="ZP66" s="178"/>
      <c r="ZQ66" s="178"/>
      <c r="ZR66" s="178"/>
      <c r="ZS66" s="178"/>
      <c r="ZT66" s="178"/>
      <c r="ZU66" s="178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  <c r="AAF66" s="178"/>
      <c r="AAG66" s="178"/>
      <c r="AAH66" s="178"/>
      <c r="AAI66" s="178"/>
      <c r="AAJ66" s="178"/>
      <c r="AAK66" s="178"/>
      <c r="AAL66" s="178"/>
      <c r="AAM66" s="178"/>
      <c r="AAN66" s="178"/>
      <c r="AAO66" s="178"/>
      <c r="AAP66" s="178"/>
      <c r="AAQ66" s="178"/>
      <c r="AAR66" s="178"/>
      <c r="AAS66" s="178"/>
      <c r="AAT66" s="178"/>
      <c r="AAU66" s="178"/>
      <c r="AAV66" s="178"/>
      <c r="AAW66" s="178"/>
      <c r="AAX66" s="178"/>
      <c r="AAY66" s="178"/>
      <c r="AAZ66" s="178"/>
      <c r="ABA66" s="178"/>
      <c r="ABB66" s="178"/>
      <c r="ABC66" s="178"/>
      <c r="ABD66" s="178"/>
      <c r="ABE66" s="178"/>
      <c r="ABF66" s="178"/>
      <c r="ABG66" s="178"/>
      <c r="ABH66" s="178"/>
      <c r="ABI66" s="178"/>
      <c r="ABJ66" s="178"/>
      <c r="ABK66" s="178"/>
      <c r="ABL66" s="178"/>
      <c r="ABM66" s="178"/>
      <c r="ABN66" s="178"/>
      <c r="ABO66" s="178"/>
      <c r="ABP66" s="178"/>
      <c r="ABQ66" s="178"/>
      <c r="ABR66" s="178"/>
      <c r="ABS66" s="178"/>
      <c r="ABT66" s="178"/>
      <c r="ABU66" s="178"/>
      <c r="ABV66" s="178"/>
      <c r="ABW66" s="178"/>
      <c r="ABX66" s="178"/>
      <c r="ABY66" s="178"/>
      <c r="ABZ66" s="178"/>
      <c r="ACA66" s="178"/>
      <c r="ACB66" s="178"/>
      <c r="ACC66" s="178"/>
      <c r="ACD66" s="178"/>
      <c r="ACE66" s="178"/>
      <c r="ACF66" s="178"/>
      <c r="ACG66" s="178"/>
      <c r="ACH66" s="178"/>
      <c r="ACI66" s="178"/>
      <c r="ACJ66" s="178"/>
      <c r="ACK66" s="178"/>
      <c r="ACL66" s="178"/>
      <c r="ACM66" s="178"/>
      <c r="ACN66" s="178"/>
      <c r="ACO66" s="178"/>
      <c r="ACP66" s="178"/>
      <c r="ACQ66" s="178"/>
      <c r="ACR66" s="178"/>
      <c r="ACS66" s="178"/>
      <c r="ACT66" s="178"/>
      <c r="ACU66" s="178"/>
      <c r="ACV66" s="178"/>
      <c r="ACW66" s="178"/>
      <c r="ACX66" s="178"/>
      <c r="ACY66" s="178"/>
      <c r="ACZ66" s="178"/>
      <c r="ADA66" s="178"/>
      <c r="ADB66" s="178"/>
      <c r="ADC66" s="178"/>
      <c r="ADD66" s="178"/>
      <c r="ADE66" s="178"/>
      <c r="ADF66" s="178"/>
      <c r="ADG66" s="178"/>
      <c r="ADH66" s="178"/>
      <c r="ADI66" s="178"/>
      <c r="ADJ66" s="178"/>
      <c r="ADK66" s="178"/>
      <c r="ADL66" s="178"/>
      <c r="ADM66" s="178"/>
      <c r="ADN66" s="178"/>
      <c r="ADO66" s="178"/>
      <c r="ADP66" s="178"/>
      <c r="ADQ66" s="178"/>
      <c r="ADR66" s="178"/>
      <c r="ADS66" s="178"/>
      <c r="ADT66" s="178"/>
      <c r="ADU66" s="178"/>
      <c r="ADV66" s="178"/>
      <c r="ADW66" s="178"/>
      <c r="ADX66" s="178"/>
      <c r="ADY66" s="178"/>
      <c r="ADZ66" s="178"/>
      <c r="AEA66" s="178"/>
      <c r="AEB66" s="178"/>
      <c r="AEC66" s="178"/>
      <c r="AED66" s="178"/>
      <c r="AEE66" s="178"/>
      <c r="AEF66" s="178"/>
      <c r="AEG66" s="178"/>
      <c r="AEH66" s="178"/>
      <c r="AEI66" s="178"/>
      <c r="AEJ66" s="178"/>
      <c r="AEK66" s="178"/>
      <c r="AEL66" s="178"/>
      <c r="AEM66" s="178"/>
      <c r="AEN66" s="178"/>
      <c r="AEO66" s="178"/>
      <c r="AEP66" s="178"/>
      <c r="AEQ66" s="178"/>
      <c r="AER66" s="178"/>
      <c r="AES66" s="178"/>
      <c r="AET66" s="178"/>
      <c r="AEU66" s="178"/>
      <c r="AEV66" s="178"/>
      <c r="AEW66" s="178"/>
      <c r="AEX66" s="178"/>
      <c r="AEY66" s="178"/>
      <c r="AEZ66" s="178"/>
      <c r="AFA66" s="178"/>
      <c r="AFB66" s="178"/>
      <c r="AFC66" s="178"/>
      <c r="AFD66" s="178"/>
      <c r="AFE66" s="178"/>
      <c r="AFF66" s="178"/>
      <c r="AFG66" s="178"/>
      <c r="AFH66" s="178"/>
      <c r="AFI66" s="178"/>
      <c r="AFJ66" s="178"/>
      <c r="AFK66" s="178"/>
      <c r="AFL66" s="178"/>
      <c r="AFM66" s="178"/>
      <c r="AFN66" s="178"/>
      <c r="AFO66" s="178"/>
      <c r="AFP66" s="178"/>
      <c r="AFQ66" s="178"/>
      <c r="AFR66" s="178"/>
      <c r="AFS66" s="178"/>
      <c r="AFT66" s="178"/>
      <c r="AFU66" s="178"/>
      <c r="AFV66" s="178"/>
      <c r="AFW66" s="178"/>
      <c r="AFX66" s="178"/>
      <c r="AFY66" s="178"/>
      <c r="AFZ66" s="178"/>
      <c r="AGA66" s="178"/>
      <c r="AGB66" s="178"/>
      <c r="AGC66" s="178"/>
      <c r="AGD66" s="178"/>
      <c r="AGE66" s="178"/>
      <c r="AGF66" s="178"/>
      <c r="AGG66" s="178"/>
      <c r="AGH66" s="178"/>
      <c r="AGI66" s="178"/>
      <c r="AGJ66" s="178"/>
      <c r="AGK66" s="178"/>
      <c r="AGL66" s="178"/>
      <c r="AGM66" s="178"/>
      <c r="AGN66" s="178"/>
      <c r="AGO66" s="178"/>
      <c r="AGP66" s="178"/>
      <c r="AGQ66" s="178"/>
      <c r="AGR66" s="178"/>
      <c r="AGS66" s="178"/>
      <c r="AGT66" s="178"/>
      <c r="AGU66" s="178"/>
      <c r="AGV66" s="178"/>
      <c r="AGW66" s="178"/>
      <c r="AGX66" s="178"/>
      <c r="AGY66" s="178"/>
      <c r="AGZ66" s="178"/>
      <c r="AHA66" s="178"/>
      <c r="AHB66" s="178"/>
      <c r="AHC66" s="178"/>
      <c r="AHD66" s="178"/>
      <c r="AHE66" s="178"/>
      <c r="AHF66" s="178"/>
      <c r="AHG66" s="178"/>
      <c r="AHH66" s="178"/>
      <c r="AHI66" s="178"/>
      <c r="AHJ66" s="178"/>
      <c r="AHK66" s="178"/>
      <c r="AHL66" s="178"/>
      <c r="AHM66" s="178"/>
      <c r="AHN66" s="178"/>
      <c r="AHO66" s="178"/>
      <c r="AHP66" s="178"/>
      <c r="AHQ66" s="178"/>
      <c r="AHR66" s="178"/>
      <c r="AHS66" s="178"/>
      <c r="AHT66" s="178"/>
      <c r="AHU66" s="178"/>
      <c r="AHV66" s="178"/>
      <c r="AHW66" s="178"/>
      <c r="AHX66" s="178"/>
      <c r="AHY66" s="178"/>
      <c r="AHZ66" s="178"/>
      <c r="AIA66" s="178"/>
      <c r="AIB66" s="178"/>
      <c r="AIC66" s="178"/>
      <c r="AID66" s="178"/>
      <c r="AIE66" s="178"/>
      <c r="AIF66" s="178"/>
      <c r="AIG66" s="178"/>
      <c r="AIH66" s="178"/>
      <c r="AII66" s="178"/>
      <c r="AIJ66" s="178"/>
    </row>
    <row r="67" spans="1:920">
      <c r="E67" s="195"/>
      <c r="F67" s="405"/>
      <c r="G67" s="489" t="s">
        <v>2208</v>
      </c>
      <c r="H67" s="405"/>
      <c r="I67" s="405"/>
      <c r="J67" s="407"/>
      <c r="K67" s="195"/>
    </row>
    <row r="68" spans="1:920" s="189" customFormat="1" ht="12.75" customHeight="1">
      <c r="A68" s="188"/>
      <c r="B68" s="188"/>
      <c r="C68" s="188"/>
      <c r="D68" s="188"/>
      <c r="E68" s="206"/>
      <c r="F68" s="199"/>
      <c r="G68" s="199"/>
      <c r="H68" s="199"/>
      <c r="I68" s="199"/>
      <c r="J68" s="193"/>
    </row>
    <row r="69" spans="1:920" s="189" customFormat="1" ht="12.75" customHeight="1">
      <c r="A69" s="188"/>
      <c r="B69" s="188"/>
      <c r="C69" s="188"/>
      <c r="D69" s="188"/>
      <c r="E69" s="206"/>
      <c r="F69" s="199"/>
      <c r="G69" s="199"/>
      <c r="H69" s="199"/>
      <c r="I69" s="199"/>
      <c r="J69" s="193"/>
    </row>
    <row r="70" spans="1:920" s="189" customFormat="1" ht="12.75" customHeight="1">
      <c r="A70" s="188"/>
      <c r="B70" s="188"/>
      <c r="C70" s="188"/>
      <c r="D70" s="188"/>
      <c r="E70" s="206"/>
      <c r="F70" s="199"/>
      <c r="G70" s="199"/>
      <c r="H70" s="199"/>
      <c r="I70" s="199"/>
      <c r="J70" s="193"/>
    </row>
    <row r="71" spans="1:920" s="189" customFormat="1" ht="12.75" customHeight="1">
      <c r="A71" s="188"/>
      <c r="B71" s="188"/>
      <c r="C71" s="188"/>
      <c r="D71" s="188"/>
      <c r="E71" s="206"/>
      <c r="F71" s="199"/>
      <c r="G71" s="199"/>
      <c r="H71" s="199"/>
      <c r="I71" s="199"/>
      <c r="J71" s="193"/>
    </row>
    <row r="72" spans="1:920" s="543" customFormat="1" ht="21.75" customHeight="1">
      <c r="E72" s="561" t="str">
        <f>E36</f>
        <v>Kontrolni broj: 169087374</v>
      </c>
      <c r="F72" s="562"/>
      <c r="G72" s="562"/>
      <c r="H72" s="544"/>
      <c r="I72" s="562"/>
      <c r="J72" s="564"/>
      <c r="K72" s="393" t="s">
        <v>2355</v>
      </c>
    </row>
    <row r="73" spans="1:920" s="189" customFormat="1">
      <c r="A73" s="188"/>
      <c r="B73" s="188"/>
      <c r="C73" s="188"/>
      <c r="D73" s="188"/>
      <c r="E73" s="206"/>
      <c r="F73" s="199"/>
      <c r="G73" s="199"/>
      <c r="H73" s="199"/>
      <c r="I73" s="199"/>
      <c r="J73" s="193"/>
    </row>
    <row r="74" spans="1:920" s="189" customFormat="1">
      <c r="A74" s="188"/>
      <c r="B74" s="188"/>
      <c r="C74" s="207"/>
      <c r="D74" s="207"/>
      <c r="E74" s="206"/>
      <c r="F74" s="199"/>
      <c r="G74" s="199"/>
      <c r="H74" s="199"/>
      <c r="I74" s="199"/>
      <c r="J74" s="193"/>
    </row>
    <row r="75" spans="1:920" s="189" customFormat="1">
      <c r="A75" s="188"/>
      <c r="B75" s="188"/>
      <c r="C75" s="188"/>
      <c r="D75" s="188"/>
      <c r="E75" s="206"/>
      <c r="F75" s="199"/>
      <c r="G75" s="199"/>
      <c r="H75" s="199"/>
      <c r="I75" s="199"/>
      <c r="J75" s="193"/>
    </row>
    <row r="76" spans="1:920" s="189" customFormat="1">
      <c r="A76" s="188"/>
      <c r="B76" s="188"/>
      <c r="C76" s="188"/>
      <c r="D76" s="188"/>
      <c r="E76" s="206"/>
      <c r="F76" s="199"/>
      <c r="G76" s="199"/>
      <c r="H76" s="199"/>
      <c r="I76" s="199"/>
      <c r="J76" s="193"/>
    </row>
    <row r="77" spans="1:920" s="189" customFormat="1" ht="90" customHeight="1">
      <c r="A77" s="188"/>
      <c r="B77" s="188"/>
      <c r="C77" s="188"/>
      <c r="D77" s="188"/>
      <c r="E77" s="206"/>
      <c r="F77" s="199"/>
      <c r="G77" s="199"/>
      <c r="H77" s="199"/>
      <c r="I77" s="199"/>
      <c r="J77" s="193"/>
    </row>
    <row r="78" spans="1:920" s="189" customFormat="1" ht="90" customHeight="1">
      <c r="A78" s="188"/>
      <c r="B78" s="188"/>
      <c r="C78" s="188"/>
      <c r="D78" s="188"/>
      <c r="E78" s="206"/>
      <c r="F78" s="199"/>
      <c r="G78" s="199"/>
      <c r="H78" s="199"/>
      <c r="I78" s="199"/>
      <c r="J78" s="193"/>
    </row>
    <row r="79" spans="1:920" s="189" customFormat="1" ht="90" customHeight="1">
      <c r="A79" s="188"/>
      <c r="B79" s="188"/>
      <c r="C79" s="188"/>
      <c r="D79" s="188"/>
      <c r="E79" s="206"/>
      <c r="F79" s="199"/>
      <c r="G79" s="199"/>
      <c r="H79" s="199"/>
      <c r="I79" s="199"/>
      <c r="J79" s="193"/>
    </row>
    <row r="80" spans="1:920" s="179" customFormat="1">
      <c r="A80" s="177"/>
      <c r="B80" s="177"/>
      <c r="C80" s="177"/>
      <c r="D80" s="177"/>
      <c r="E80" s="206"/>
      <c r="F80" s="199"/>
      <c r="G80" s="199"/>
      <c r="H80" s="199"/>
      <c r="I80" s="199"/>
      <c r="J80" s="193"/>
      <c r="K80" s="189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  <c r="IX80" s="178"/>
      <c r="IY80" s="178"/>
      <c r="IZ80" s="178"/>
      <c r="JA80" s="178"/>
      <c r="JB80" s="178"/>
      <c r="JC80" s="178"/>
      <c r="JD80" s="178"/>
      <c r="JE80" s="178"/>
      <c r="JF80" s="178"/>
      <c r="JG80" s="178"/>
      <c r="JH80" s="178"/>
      <c r="JI80" s="178"/>
      <c r="JJ80" s="178"/>
      <c r="JK80" s="178"/>
      <c r="JL80" s="178"/>
      <c r="JM80" s="178"/>
      <c r="JN80" s="178"/>
      <c r="JO80" s="178"/>
      <c r="JP80" s="178"/>
      <c r="JQ80" s="178"/>
      <c r="JR80" s="178"/>
      <c r="JS80" s="178"/>
      <c r="JT80" s="178"/>
      <c r="JU80" s="178"/>
      <c r="JV80" s="178"/>
      <c r="JW80" s="178"/>
      <c r="JX80" s="178"/>
      <c r="JY80" s="178"/>
      <c r="JZ80" s="178"/>
      <c r="KA80" s="178"/>
      <c r="KB80" s="178"/>
      <c r="KC80" s="178"/>
      <c r="KD80" s="178"/>
      <c r="KE80" s="178"/>
      <c r="KF80" s="178"/>
      <c r="KG80" s="178"/>
      <c r="KH80" s="178"/>
      <c r="KI80" s="178"/>
      <c r="KJ80" s="178"/>
      <c r="KK80" s="178"/>
      <c r="KL80" s="178"/>
      <c r="KM80" s="178"/>
      <c r="KN80" s="178"/>
      <c r="KO80" s="178"/>
      <c r="KP80" s="178"/>
      <c r="KQ80" s="178"/>
      <c r="KR80" s="178"/>
      <c r="KS80" s="178"/>
      <c r="KT80" s="178"/>
      <c r="KU80" s="178"/>
      <c r="KV80" s="178"/>
      <c r="KW80" s="178"/>
      <c r="KX80" s="178"/>
      <c r="KY80" s="178"/>
      <c r="KZ80" s="178"/>
      <c r="LA80" s="178"/>
      <c r="LB80" s="178"/>
      <c r="LC80" s="178"/>
      <c r="LD80" s="178"/>
      <c r="LE80" s="178"/>
      <c r="LF80" s="178"/>
      <c r="LG80" s="178"/>
      <c r="LH80" s="178"/>
      <c r="LI80" s="178"/>
      <c r="LJ80" s="178"/>
      <c r="LK80" s="178"/>
      <c r="LL80" s="178"/>
      <c r="LM80" s="178"/>
      <c r="LN80" s="178"/>
      <c r="LO80" s="178"/>
      <c r="LP80" s="178"/>
      <c r="LQ80" s="178"/>
      <c r="LR80" s="178"/>
      <c r="LS80" s="178"/>
      <c r="LT80" s="178"/>
      <c r="LU80" s="178"/>
      <c r="LV80" s="178"/>
      <c r="LW80" s="178"/>
      <c r="LX80" s="178"/>
      <c r="LY80" s="178"/>
      <c r="LZ80" s="178"/>
      <c r="MA80" s="178"/>
      <c r="MB80" s="178"/>
      <c r="MC80" s="178"/>
      <c r="MD80" s="178"/>
      <c r="ME80" s="178"/>
      <c r="MF80" s="178"/>
      <c r="MG80" s="178"/>
      <c r="MH80" s="178"/>
      <c r="MI80" s="178"/>
      <c r="MJ80" s="178"/>
      <c r="MK80" s="178"/>
      <c r="ML80" s="178"/>
      <c r="MM80" s="178"/>
      <c r="MN80" s="178"/>
      <c r="MO80" s="178"/>
      <c r="MP80" s="178"/>
      <c r="MQ80" s="178"/>
      <c r="MR80" s="178"/>
      <c r="MS80" s="178"/>
      <c r="MT80" s="178"/>
      <c r="MU80" s="178"/>
      <c r="MV80" s="178"/>
      <c r="MW80" s="178"/>
      <c r="MX80" s="178"/>
      <c r="MY80" s="178"/>
      <c r="MZ80" s="178"/>
      <c r="NA80" s="178"/>
      <c r="NB80" s="178"/>
      <c r="NC80" s="178"/>
      <c r="ND80" s="178"/>
      <c r="NE80" s="178"/>
      <c r="NF80" s="178"/>
      <c r="NG80" s="178"/>
      <c r="NH80" s="178"/>
      <c r="NI80" s="178"/>
      <c r="NJ80" s="178"/>
      <c r="NK80" s="178"/>
      <c r="NL80" s="178"/>
      <c r="NM80" s="178"/>
      <c r="NN80" s="178"/>
      <c r="NO80" s="178"/>
      <c r="NP80" s="178"/>
      <c r="NQ80" s="178"/>
      <c r="NR80" s="178"/>
      <c r="NS80" s="178"/>
      <c r="NT80" s="178"/>
      <c r="NU80" s="178"/>
      <c r="NV80" s="178"/>
      <c r="NW80" s="178"/>
      <c r="NX80" s="178"/>
      <c r="NY80" s="178"/>
      <c r="NZ80" s="178"/>
      <c r="OA80" s="178"/>
      <c r="OB80" s="178"/>
      <c r="OC80" s="178"/>
      <c r="OD80" s="178"/>
      <c r="OE80" s="178"/>
      <c r="OF80" s="178"/>
      <c r="OG80" s="178"/>
      <c r="OH80" s="178"/>
      <c r="OI80" s="178"/>
      <c r="OJ80" s="178"/>
      <c r="OK80" s="178"/>
      <c r="OL80" s="178"/>
      <c r="OM80" s="178"/>
      <c r="ON80" s="178"/>
      <c r="OO80" s="178"/>
      <c r="OP80" s="178"/>
      <c r="OQ80" s="178"/>
      <c r="OR80" s="178"/>
      <c r="OS80" s="178"/>
      <c r="OT80" s="178"/>
      <c r="OU80" s="178"/>
      <c r="OV80" s="178"/>
      <c r="OW80" s="178"/>
      <c r="OX80" s="178"/>
      <c r="OY80" s="178"/>
      <c r="OZ80" s="178"/>
      <c r="PA80" s="178"/>
      <c r="PB80" s="178"/>
      <c r="PC80" s="178"/>
      <c r="PD80" s="178"/>
      <c r="PE80" s="178"/>
      <c r="PF80" s="178"/>
      <c r="PG80" s="178"/>
      <c r="PH80" s="178"/>
      <c r="PI80" s="178"/>
      <c r="PJ80" s="178"/>
      <c r="PK80" s="178"/>
      <c r="PL80" s="178"/>
      <c r="PM80" s="178"/>
      <c r="PN80" s="178"/>
      <c r="PO80" s="178"/>
      <c r="PP80" s="178"/>
      <c r="PQ80" s="178"/>
      <c r="PR80" s="178"/>
      <c r="PS80" s="178"/>
      <c r="PT80" s="178"/>
      <c r="PU80" s="178"/>
      <c r="PV80" s="178"/>
      <c r="PW80" s="178"/>
      <c r="PX80" s="178"/>
      <c r="PY80" s="178"/>
      <c r="PZ80" s="178"/>
      <c r="QA80" s="178"/>
      <c r="QB80" s="178"/>
      <c r="QC80" s="178"/>
      <c r="QD80" s="178"/>
      <c r="QE80" s="178"/>
      <c r="QF80" s="178"/>
      <c r="QG80" s="178"/>
      <c r="QH80" s="178"/>
      <c r="QI80" s="178"/>
      <c r="QJ80" s="178"/>
      <c r="QK80" s="178"/>
      <c r="QL80" s="178"/>
      <c r="QM80" s="178"/>
      <c r="QN80" s="178"/>
      <c r="QO80" s="178"/>
      <c r="QP80" s="178"/>
      <c r="QQ80" s="178"/>
      <c r="QR80" s="178"/>
      <c r="QS80" s="178"/>
      <c r="QT80" s="178"/>
      <c r="QU80" s="178"/>
      <c r="QV80" s="178"/>
      <c r="QW80" s="178"/>
      <c r="QX80" s="178"/>
      <c r="QY80" s="178"/>
      <c r="QZ80" s="178"/>
      <c r="RA80" s="178"/>
      <c r="RB80" s="178"/>
      <c r="RC80" s="178"/>
      <c r="RD80" s="178"/>
      <c r="RE80" s="178"/>
      <c r="RF80" s="178"/>
      <c r="RG80" s="178"/>
      <c r="RH80" s="178"/>
      <c r="RI80" s="178"/>
      <c r="RJ80" s="178"/>
      <c r="RK80" s="178"/>
      <c r="RL80" s="178"/>
      <c r="RM80" s="178"/>
      <c r="RN80" s="178"/>
      <c r="RO80" s="178"/>
      <c r="RP80" s="178"/>
      <c r="RQ80" s="178"/>
      <c r="RR80" s="178"/>
      <c r="RS80" s="178"/>
      <c r="RT80" s="178"/>
      <c r="RU80" s="178"/>
      <c r="RV80" s="178"/>
      <c r="RW80" s="178"/>
      <c r="RX80" s="178"/>
      <c r="RY80" s="178"/>
      <c r="RZ80" s="178"/>
      <c r="SA80" s="178"/>
      <c r="SB80" s="178"/>
      <c r="SC80" s="178"/>
      <c r="SD80" s="178"/>
      <c r="SE80" s="178"/>
      <c r="SF80" s="178"/>
      <c r="SG80" s="178"/>
      <c r="SH80" s="178"/>
      <c r="SI80" s="178"/>
      <c r="SJ80" s="178"/>
      <c r="SK80" s="178"/>
      <c r="SL80" s="178"/>
      <c r="SM80" s="178"/>
      <c r="SN80" s="178"/>
      <c r="SO80" s="178"/>
      <c r="SP80" s="178"/>
      <c r="SQ80" s="178"/>
      <c r="SR80" s="178"/>
      <c r="SS80" s="178"/>
      <c r="ST80" s="178"/>
      <c r="SU80" s="178"/>
      <c r="SV80" s="178"/>
      <c r="SW80" s="178"/>
      <c r="SX80" s="178"/>
      <c r="SY80" s="178"/>
      <c r="SZ80" s="178"/>
      <c r="TA80" s="178"/>
      <c r="TB80" s="178"/>
      <c r="TC80" s="178"/>
      <c r="TD80" s="178"/>
      <c r="TE80" s="178"/>
      <c r="TF80" s="178"/>
      <c r="TG80" s="178"/>
      <c r="TH80" s="178"/>
      <c r="TI80" s="178"/>
      <c r="TJ80" s="178"/>
      <c r="TK80" s="178"/>
      <c r="TL80" s="178"/>
      <c r="TM80" s="178"/>
      <c r="TN80" s="178"/>
      <c r="TO80" s="178"/>
      <c r="TP80" s="178"/>
      <c r="TQ80" s="178"/>
      <c r="TR80" s="178"/>
      <c r="TS80" s="178"/>
      <c r="TT80" s="178"/>
      <c r="TU80" s="178"/>
      <c r="TV80" s="178"/>
      <c r="TW80" s="178"/>
      <c r="TX80" s="178"/>
      <c r="TY80" s="178"/>
      <c r="TZ80" s="178"/>
      <c r="UA80" s="178"/>
      <c r="UB80" s="178"/>
      <c r="UC80" s="178"/>
      <c r="UD80" s="178"/>
      <c r="UE80" s="178"/>
      <c r="UF80" s="178"/>
      <c r="UG80" s="178"/>
      <c r="UH80" s="178"/>
      <c r="UI80" s="178"/>
      <c r="UJ80" s="178"/>
      <c r="UK80" s="178"/>
      <c r="UL80" s="178"/>
      <c r="UM80" s="178"/>
      <c r="UN80" s="178"/>
      <c r="UO80" s="178"/>
      <c r="UP80" s="178"/>
      <c r="UQ80" s="178"/>
      <c r="UR80" s="178"/>
      <c r="US80" s="178"/>
      <c r="UT80" s="178"/>
      <c r="UU80" s="178"/>
      <c r="UV80" s="178"/>
      <c r="UW80" s="178"/>
      <c r="UX80" s="178"/>
      <c r="UY80" s="178"/>
      <c r="UZ80" s="178"/>
      <c r="VA80" s="178"/>
      <c r="VB80" s="178"/>
      <c r="VC80" s="178"/>
      <c r="VD80" s="178"/>
      <c r="VE80" s="178"/>
      <c r="VF80" s="178"/>
      <c r="VG80" s="178"/>
      <c r="VH80" s="178"/>
      <c r="VI80" s="178"/>
      <c r="VJ80" s="178"/>
      <c r="VK80" s="178"/>
      <c r="VL80" s="178"/>
      <c r="VM80" s="178"/>
      <c r="VN80" s="178"/>
      <c r="VO80" s="178"/>
      <c r="VP80" s="178"/>
      <c r="VQ80" s="178"/>
      <c r="VR80" s="178"/>
      <c r="VS80" s="178"/>
      <c r="VT80" s="178"/>
      <c r="VU80" s="178"/>
      <c r="VV80" s="178"/>
      <c r="VW80" s="178"/>
      <c r="VX80" s="178"/>
      <c r="VY80" s="178"/>
      <c r="VZ80" s="178"/>
      <c r="WA80" s="178"/>
      <c r="WB80" s="178"/>
      <c r="WC80" s="178"/>
      <c r="WD80" s="178"/>
      <c r="WE80" s="178"/>
      <c r="WF80" s="178"/>
      <c r="WG80" s="178"/>
      <c r="WH80" s="178"/>
      <c r="WI80" s="178"/>
      <c r="WJ80" s="178"/>
      <c r="WK80" s="178"/>
      <c r="WL80" s="178"/>
      <c r="WM80" s="178"/>
      <c r="WN80" s="178"/>
      <c r="WO80" s="178"/>
      <c r="WP80" s="178"/>
      <c r="WQ80" s="178"/>
      <c r="WR80" s="178"/>
      <c r="WS80" s="178"/>
      <c r="WT80" s="178"/>
      <c r="WU80" s="178"/>
      <c r="WV80" s="178"/>
      <c r="WW80" s="178"/>
      <c r="WX80" s="178"/>
      <c r="WY80" s="178"/>
      <c r="WZ80" s="178"/>
      <c r="XA80" s="178"/>
      <c r="XB80" s="178"/>
      <c r="XC80" s="178"/>
      <c r="XD80" s="178"/>
      <c r="XE80" s="178"/>
      <c r="XF80" s="178"/>
      <c r="XG80" s="178"/>
      <c r="XH80" s="178"/>
      <c r="XI80" s="178"/>
      <c r="XJ80" s="178"/>
      <c r="XK80" s="178"/>
      <c r="XL80" s="178"/>
      <c r="XM80" s="178"/>
      <c r="XN80" s="178"/>
      <c r="XO80" s="178"/>
      <c r="XP80" s="178"/>
      <c r="XQ80" s="178"/>
      <c r="XR80" s="178"/>
      <c r="XS80" s="178"/>
      <c r="XT80" s="178"/>
      <c r="XU80" s="178"/>
      <c r="XV80" s="178"/>
      <c r="XW80" s="178"/>
      <c r="XX80" s="178"/>
      <c r="XY80" s="178"/>
      <c r="XZ80" s="178"/>
      <c r="YA80" s="178"/>
      <c r="YB80" s="178"/>
      <c r="YC80" s="178"/>
      <c r="YD80" s="178"/>
      <c r="YE80" s="178"/>
      <c r="YF80" s="178"/>
      <c r="YG80" s="178"/>
      <c r="YH80" s="178"/>
      <c r="YI80" s="178"/>
      <c r="YJ80" s="178"/>
      <c r="YK80" s="178"/>
      <c r="YL80" s="178"/>
      <c r="YM80" s="178"/>
      <c r="YN80" s="178"/>
      <c r="YO80" s="178"/>
      <c r="YP80" s="178"/>
      <c r="YQ80" s="178"/>
      <c r="YR80" s="178"/>
      <c r="YS80" s="178"/>
      <c r="YT80" s="178"/>
      <c r="YU80" s="178"/>
      <c r="YV80" s="178"/>
      <c r="YW80" s="178"/>
      <c r="YX80" s="178"/>
      <c r="YY80" s="178"/>
      <c r="YZ80" s="178"/>
      <c r="ZA80" s="178"/>
      <c r="ZB80" s="178"/>
      <c r="ZC80" s="178"/>
      <c r="ZD80" s="178"/>
      <c r="ZE80" s="178"/>
      <c r="ZF80" s="178"/>
      <c r="ZG80" s="178"/>
      <c r="ZH80" s="178"/>
      <c r="ZI80" s="178"/>
      <c r="ZJ80" s="178"/>
      <c r="ZK80" s="178"/>
      <c r="ZL80" s="178"/>
      <c r="ZM80" s="178"/>
      <c r="ZN80" s="178"/>
      <c r="ZO80" s="178"/>
      <c r="ZP80" s="178"/>
      <c r="ZQ80" s="178"/>
      <c r="ZR80" s="178"/>
      <c r="ZS80" s="178"/>
      <c r="ZT80" s="178"/>
      <c r="ZU80" s="178"/>
      <c r="ZV80" s="178"/>
      <c r="ZW80" s="178"/>
      <c r="ZX80" s="178"/>
      <c r="ZY80" s="178"/>
      <c r="ZZ80" s="178"/>
      <c r="AAA80" s="178"/>
      <c r="AAB80" s="178"/>
      <c r="AAC80" s="178"/>
      <c r="AAD80" s="178"/>
      <c r="AAE80" s="178"/>
      <c r="AAF80" s="178"/>
      <c r="AAG80" s="178"/>
      <c r="AAH80" s="178"/>
      <c r="AAI80" s="178"/>
      <c r="AAJ80" s="178"/>
      <c r="AAK80" s="178"/>
      <c r="AAL80" s="178"/>
      <c r="AAM80" s="178"/>
      <c r="AAN80" s="178"/>
      <c r="AAO80" s="178"/>
      <c r="AAP80" s="178"/>
      <c r="AAQ80" s="178"/>
      <c r="AAR80" s="178"/>
      <c r="AAS80" s="178"/>
      <c r="AAT80" s="178"/>
      <c r="AAU80" s="178"/>
      <c r="AAV80" s="178"/>
      <c r="AAW80" s="178"/>
      <c r="AAX80" s="178"/>
      <c r="AAY80" s="178"/>
      <c r="AAZ80" s="178"/>
      <c r="ABA80" s="178"/>
      <c r="ABB80" s="178"/>
      <c r="ABC80" s="178"/>
      <c r="ABD80" s="178"/>
      <c r="ABE80" s="178"/>
      <c r="ABF80" s="178"/>
      <c r="ABG80" s="178"/>
      <c r="ABH80" s="178"/>
      <c r="ABI80" s="178"/>
      <c r="ABJ80" s="178"/>
      <c r="ABK80" s="178"/>
      <c r="ABL80" s="178"/>
      <c r="ABM80" s="178"/>
      <c r="ABN80" s="178"/>
      <c r="ABO80" s="178"/>
      <c r="ABP80" s="178"/>
      <c r="ABQ80" s="178"/>
      <c r="ABR80" s="178"/>
      <c r="ABS80" s="178"/>
      <c r="ABT80" s="178"/>
      <c r="ABU80" s="178"/>
      <c r="ABV80" s="178"/>
      <c r="ABW80" s="178"/>
      <c r="ABX80" s="178"/>
      <c r="ABY80" s="178"/>
      <c r="ABZ80" s="178"/>
      <c r="ACA80" s="178"/>
      <c r="ACB80" s="178"/>
      <c r="ACC80" s="178"/>
      <c r="ACD80" s="178"/>
      <c r="ACE80" s="178"/>
      <c r="ACF80" s="178"/>
      <c r="ACG80" s="178"/>
      <c r="ACH80" s="178"/>
      <c r="ACI80" s="178"/>
      <c r="ACJ80" s="178"/>
      <c r="ACK80" s="178"/>
      <c r="ACL80" s="178"/>
      <c r="ACM80" s="178"/>
      <c r="ACN80" s="178"/>
      <c r="ACO80" s="178"/>
      <c r="ACP80" s="178"/>
      <c r="ACQ80" s="178"/>
      <c r="ACR80" s="178"/>
      <c r="ACS80" s="178"/>
      <c r="ACT80" s="178"/>
      <c r="ACU80" s="178"/>
      <c r="ACV80" s="178"/>
      <c r="ACW80" s="178"/>
      <c r="ACX80" s="178"/>
      <c r="ACY80" s="178"/>
      <c r="ACZ80" s="178"/>
      <c r="ADA80" s="178"/>
      <c r="ADB80" s="178"/>
      <c r="ADC80" s="178"/>
      <c r="ADD80" s="178"/>
      <c r="ADE80" s="178"/>
      <c r="ADF80" s="178"/>
      <c r="ADG80" s="178"/>
      <c r="ADH80" s="178"/>
      <c r="ADI80" s="178"/>
      <c r="ADJ80" s="178"/>
      <c r="ADK80" s="178"/>
      <c r="ADL80" s="178"/>
      <c r="ADM80" s="178"/>
      <c r="ADN80" s="178"/>
      <c r="ADO80" s="178"/>
      <c r="ADP80" s="178"/>
      <c r="ADQ80" s="178"/>
      <c r="ADR80" s="178"/>
      <c r="ADS80" s="178"/>
      <c r="ADT80" s="178"/>
      <c r="ADU80" s="178"/>
      <c r="ADV80" s="178"/>
      <c r="ADW80" s="178"/>
      <c r="ADX80" s="178"/>
      <c r="ADY80" s="178"/>
      <c r="ADZ80" s="178"/>
      <c r="AEA80" s="178"/>
      <c r="AEB80" s="178"/>
      <c r="AEC80" s="178"/>
      <c r="AED80" s="178"/>
      <c r="AEE80" s="178"/>
      <c r="AEF80" s="178"/>
      <c r="AEG80" s="178"/>
      <c r="AEH80" s="178"/>
      <c r="AEI80" s="178"/>
      <c r="AEJ80" s="178"/>
      <c r="AEK80" s="178"/>
      <c r="AEL80" s="178"/>
      <c r="AEM80" s="178"/>
      <c r="AEN80" s="178"/>
      <c r="AEO80" s="178"/>
      <c r="AEP80" s="178"/>
      <c r="AEQ80" s="178"/>
      <c r="AER80" s="178"/>
      <c r="AES80" s="178"/>
      <c r="AET80" s="178"/>
      <c r="AEU80" s="178"/>
      <c r="AEV80" s="178"/>
      <c r="AEW80" s="178"/>
      <c r="AEX80" s="178"/>
      <c r="AEY80" s="178"/>
      <c r="AEZ80" s="178"/>
      <c r="AFA80" s="178"/>
      <c r="AFB80" s="178"/>
      <c r="AFC80" s="178"/>
      <c r="AFD80" s="178"/>
      <c r="AFE80" s="178"/>
      <c r="AFF80" s="178"/>
      <c r="AFG80" s="178"/>
      <c r="AFH80" s="178"/>
      <c r="AFI80" s="178"/>
      <c r="AFJ80" s="178"/>
      <c r="AFK80" s="178"/>
      <c r="AFL80" s="178"/>
      <c r="AFM80" s="178"/>
      <c r="AFN80" s="178"/>
      <c r="AFO80" s="178"/>
      <c r="AFP80" s="178"/>
      <c r="AFQ80" s="178"/>
      <c r="AFR80" s="178"/>
      <c r="AFS80" s="178"/>
      <c r="AFT80" s="178"/>
      <c r="AFU80" s="178"/>
      <c r="AFV80" s="178"/>
      <c r="AFW80" s="178"/>
      <c r="AFX80" s="178"/>
      <c r="AFY80" s="178"/>
      <c r="AFZ80" s="178"/>
      <c r="AGA80" s="178"/>
      <c r="AGB80" s="178"/>
      <c r="AGC80" s="178"/>
      <c r="AGD80" s="178"/>
      <c r="AGE80" s="178"/>
      <c r="AGF80" s="178"/>
      <c r="AGG80" s="178"/>
      <c r="AGH80" s="178"/>
      <c r="AGI80" s="178"/>
      <c r="AGJ80" s="178"/>
      <c r="AGK80" s="178"/>
      <c r="AGL80" s="178"/>
      <c r="AGM80" s="178"/>
      <c r="AGN80" s="178"/>
      <c r="AGO80" s="178"/>
      <c r="AGP80" s="178"/>
      <c r="AGQ80" s="178"/>
      <c r="AGR80" s="178"/>
      <c r="AGS80" s="178"/>
      <c r="AGT80" s="178"/>
      <c r="AGU80" s="178"/>
      <c r="AGV80" s="178"/>
      <c r="AGW80" s="178"/>
      <c r="AGX80" s="178"/>
      <c r="AGY80" s="178"/>
      <c r="AGZ80" s="178"/>
      <c r="AHA80" s="178"/>
      <c r="AHB80" s="178"/>
      <c r="AHC80" s="178"/>
      <c r="AHD80" s="178"/>
      <c r="AHE80" s="178"/>
      <c r="AHF80" s="178"/>
      <c r="AHG80" s="178"/>
      <c r="AHH80" s="178"/>
      <c r="AHI80" s="178"/>
      <c r="AHJ80" s="178"/>
      <c r="AHK80" s="178"/>
      <c r="AHL80" s="178"/>
      <c r="AHM80" s="178"/>
      <c r="AHN80" s="178"/>
      <c r="AHO80" s="178"/>
      <c r="AHP80" s="178"/>
      <c r="AHQ80" s="178"/>
      <c r="AHR80" s="178"/>
      <c r="AHS80" s="178"/>
      <c r="AHT80" s="178"/>
      <c r="AHU80" s="178"/>
      <c r="AHV80" s="178"/>
      <c r="AHW80" s="178"/>
      <c r="AHX80" s="178"/>
      <c r="AHY80" s="178"/>
      <c r="AHZ80" s="178"/>
      <c r="AIA80" s="178"/>
      <c r="AIB80" s="178"/>
      <c r="AIC80" s="178"/>
      <c r="AID80" s="178"/>
      <c r="AIE80" s="178"/>
      <c r="AIF80" s="178"/>
      <c r="AIG80" s="178"/>
      <c r="AIH80" s="178"/>
      <c r="AII80" s="178"/>
      <c r="AIJ80" s="178"/>
    </row>
    <row r="82" spans="12:12">
      <c r="L82" s="201"/>
    </row>
    <row r="83" spans="12:12">
      <c r="L83" s="205"/>
    </row>
  </sheetData>
  <sheetProtection sheet="1" objects="1" scenarios="1"/>
  <mergeCells count="5">
    <mergeCell ref="J64:K65"/>
    <mergeCell ref="E13:K13"/>
    <mergeCell ref="E14:K14"/>
    <mergeCell ref="E15:K15"/>
    <mergeCell ref="E16:K16"/>
  </mergeCells>
  <conditionalFormatting sqref="E36">
    <cfRule type="containsText" dxfId="43" priority="17" operator="containsText" text="Obrazac prazan">
      <formula>NOT(ISERROR(SEARCH("Obrazac prazan",E36)))</formula>
    </cfRule>
  </conditionalFormatting>
  <conditionalFormatting sqref="E72">
    <cfRule type="containsText" dxfId="42" priority="2" operator="containsText" text="Obrazac prazan">
      <formula>NOT(ISERROR(SEARCH("Obrazac prazan",E72)))</formula>
    </cfRule>
  </conditionalFormatting>
  <dataValidations count="1">
    <dataValidation type="whole" allowBlank="1" showInputMessage="1" showErrorMessage="1" sqref="J20:K34 J55:K60 J39:K44 J46:K53" xr:uid="{00000000-0002-0000-0600-000000000000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&amp;C                                                    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13C191-9F46-4433-B282-FA6B3084987B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E72</xm:sqref>
        </x14:conditionalFormatting>
        <x14:conditionalFormatting xmlns:xm="http://schemas.microsoft.com/office/excel/2006/main">
          <x14:cfRule type="expression" priority="15" id="{B3CF496F-0A58-4555-9C30-7DAAB40AAB76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E13:K16 K17 F11:K12 F1:J10 E36:F36 H36:K36 E18:K35 E65:F65 E66:J66 H65:I65 E37:K63 E64:J64 E67:K67 E72:F72 H72:K72</xm:sqref>
        </x14:conditionalFormatting>
        <x14:conditionalFormatting xmlns:xm="http://schemas.microsoft.com/office/excel/2006/main">
          <x14:cfRule type="expression" priority="14" id="{DF5A6CD5-83F8-4B66-AFBC-17635B74B47E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E1:E4</xm:sqref>
        </x14:conditionalFormatting>
        <x14:conditionalFormatting xmlns:xm="http://schemas.microsoft.com/office/excel/2006/main">
          <x14:cfRule type="expression" priority="13" id="{CCC80190-A891-4F5D-A673-3372B6D0EE9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</xm:sqref>
        </x14:conditionalFormatting>
        <x14:conditionalFormatting xmlns:xm="http://schemas.microsoft.com/office/excel/2006/main">
          <x14:cfRule type="expression" priority="12" id="{806F9ED3-CB7F-4079-B5BA-DFBF3CCE6F8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E8</xm:sqref>
        </x14:conditionalFormatting>
        <x14:conditionalFormatting xmlns:xm="http://schemas.microsoft.com/office/excel/2006/main">
          <x14:cfRule type="expression" priority="11" id="{13D485A5-3B30-46BC-8EE6-5C13C282BD5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E10</xm:sqref>
        </x14:conditionalFormatting>
        <x14:conditionalFormatting xmlns:xm="http://schemas.microsoft.com/office/excel/2006/main">
          <x14:cfRule type="expression" priority="10" id="{13698F00-36E6-4485-8799-97FA1C9FA22E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E12</xm:sqref>
        </x14:conditionalFormatting>
        <x14:conditionalFormatting xmlns:xm="http://schemas.microsoft.com/office/excel/2006/main">
          <x14:cfRule type="expression" priority="9" id="{A2C812E6-14F3-46E4-B312-D9BEDF3B9C4B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E11</xm:sqref>
        </x14:conditionalFormatting>
        <x14:conditionalFormatting xmlns:xm="http://schemas.microsoft.com/office/excel/2006/main">
          <x14:cfRule type="expression" priority="8" id="{F8A7CF20-9949-4E66-AC44-3AC533879F13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E9</xm:sqref>
        </x14:conditionalFormatting>
        <x14:conditionalFormatting xmlns:xm="http://schemas.microsoft.com/office/excel/2006/main">
          <x14:cfRule type="expression" priority="7" id="{46A2CB07-555D-409E-A5E1-610165E377B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E5</xm:sqref>
        </x14:conditionalFormatting>
        <x14:conditionalFormatting xmlns:xm="http://schemas.microsoft.com/office/excel/2006/main">
          <x14:cfRule type="expression" priority="6" id="{92D0C88A-162F-417B-B00F-54E19FB3EEB2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</xm:sqref>
        </x14:conditionalFormatting>
        <x14:conditionalFormatting xmlns:xm="http://schemas.microsoft.com/office/excel/2006/main">
          <x14:cfRule type="expression" priority="4" id="{7F8D7624-2AEB-424E-BEE2-0AD72283B6C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K1:K10</xm:sqref>
        </x14:conditionalFormatting>
        <x14:conditionalFormatting xmlns:xm="http://schemas.microsoft.com/office/excel/2006/main">
          <x14:cfRule type="expression" priority="3" id="{9FE7E892-2C84-4762-BC48-44ECF95689A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J64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7" tint="-0.499984740745262"/>
    <pageSetUpPr fitToPage="1"/>
  </sheetPr>
  <dimension ref="A1:AMG337"/>
  <sheetViews>
    <sheetView showGridLines="0" view="pageLayout" topLeftCell="E23" zoomScale="50" zoomScaleNormal="55" zoomScaleSheetLayoutView="55" zoomScalePageLayoutView="50" workbookViewId="0">
      <selection activeCell="AV36" sqref="AV36:BE36"/>
    </sheetView>
  </sheetViews>
  <sheetFormatPr defaultColWidth="2.5703125" defaultRowHeight="25.5"/>
  <cols>
    <col min="1" max="4" width="12" hidden="1" customWidth="1"/>
    <col min="5" max="5" width="12" style="14" customWidth="1"/>
    <col min="6" max="8" width="3.28515625" style="14" customWidth="1"/>
    <col min="9" max="9" width="3.42578125" style="19" customWidth="1"/>
    <col min="10" max="33" width="3.42578125" style="14" customWidth="1"/>
    <col min="34" max="34" width="30" style="14" customWidth="1"/>
    <col min="35" max="36" width="5.42578125" style="14" customWidth="1"/>
    <col min="37" max="39" width="4.85546875" style="14" customWidth="1"/>
    <col min="40" max="57" width="3" style="14" customWidth="1"/>
    <col min="58" max="58" width="1.85546875" style="14" customWidth="1"/>
    <col min="59" max="59" width="7.42578125" style="14" customWidth="1"/>
    <col min="60" max="60" width="3.5703125" style="14" customWidth="1"/>
    <col min="61" max="1021" width="2.5703125" style="14" customWidth="1"/>
    <col min="1022" max="1022" width="2.5703125" customWidth="1"/>
  </cols>
  <sheetData>
    <row r="1" spans="5:59" s="88" customFormat="1" ht="26.25" customHeight="1">
      <c r="E1" s="569" t="str">
        <f>OsnPodaci!$B$4</f>
        <v>ZIF " prevent INVEST " d.d.</v>
      </c>
      <c r="F1" s="570"/>
      <c r="G1" s="570"/>
      <c r="H1" s="570"/>
      <c r="I1" s="570"/>
      <c r="J1" s="257"/>
      <c r="K1" s="257"/>
      <c r="L1" s="570"/>
      <c r="M1" s="570"/>
      <c r="N1" s="230"/>
      <c r="O1" s="230"/>
      <c r="P1" s="230"/>
      <c r="Q1" s="230"/>
      <c r="R1" s="230"/>
      <c r="S1" s="257"/>
      <c r="T1" s="257"/>
      <c r="U1" s="257"/>
      <c r="V1" s="257"/>
      <c r="W1" s="257"/>
      <c r="X1" s="257"/>
      <c r="Y1" s="257"/>
      <c r="Z1" s="257"/>
      <c r="AA1" s="257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571" t="str">
        <f>IF(OsnPodaci!A4="","",OsnPodaci!A4)</f>
        <v>4200191740002</v>
      </c>
      <c r="BF1" s="233"/>
      <c r="BG1" s="1068" t="str">
        <f>"*"&amp;'#Konverter'!AD13&amp;C45&amp;D45&amp;"*"</f>
        <v>*2159460356334982*</v>
      </c>
    </row>
    <row r="2" spans="5:59" s="89" customFormat="1" ht="31.5" customHeight="1">
      <c r="E2" s="582" t="s">
        <v>2034</v>
      </c>
      <c r="F2" s="252"/>
      <c r="G2" s="252"/>
      <c r="H2" s="252"/>
      <c r="I2" s="252"/>
      <c r="J2" s="230"/>
      <c r="K2" s="230"/>
      <c r="L2" s="252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580" t="s">
        <v>2078</v>
      </c>
      <c r="BF2" s="236"/>
      <c r="BG2" s="1068"/>
    </row>
    <row r="3" spans="5:59" s="88" customFormat="1" ht="27">
      <c r="E3" s="569" t="str">
        <f>CONCATENATE(OsnPodaci!$A$10,", ",OsnPodaci!$A$13)</f>
        <v>Sarajevo-Novi Grad, Bulevar Meše Selimovića 16</v>
      </c>
      <c r="F3" s="573"/>
      <c r="G3" s="573"/>
      <c r="H3" s="573"/>
      <c r="I3" s="574"/>
      <c r="J3" s="257"/>
      <c r="K3" s="257"/>
      <c r="L3" s="574"/>
      <c r="M3" s="230"/>
      <c r="N3" s="230"/>
      <c r="O3" s="230"/>
      <c r="P3" s="230"/>
      <c r="Q3" s="230"/>
      <c r="R3" s="230"/>
      <c r="S3" s="257"/>
      <c r="T3" s="257"/>
      <c r="U3" s="257"/>
      <c r="V3" s="257"/>
      <c r="W3" s="257"/>
      <c r="X3" s="257"/>
      <c r="Y3" s="257"/>
      <c r="Z3" s="257"/>
      <c r="AA3" s="257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571" t="str">
        <f>IF(OsnPodaci!$A$19="","",OsnPodaci!$A$19)</f>
        <v>64.30</v>
      </c>
      <c r="BF3" s="233"/>
      <c r="BG3" s="1068"/>
    </row>
    <row r="4" spans="5:59" s="89" customFormat="1" ht="31.5" customHeight="1">
      <c r="E4" s="582" t="s">
        <v>2356</v>
      </c>
      <c r="F4" s="252"/>
      <c r="G4" s="252"/>
      <c r="H4" s="252"/>
      <c r="I4" s="252"/>
      <c r="J4" s="230"/>
      <c r="K4" s="230"/>
      <c r="L4" s="252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363"/>
      <c r="BB4" s="230"/>
      <c r="BC4" s="230"/>
      <c r="BD4" s="230"/>
      <c r="BE4" s="580" t="s">
        <v>2357</v>
      </c>
      <c r="BF4" s="236"/>
      <c r="BG4" s="1068"/>
    </row>
    <row r="5" spans="5:59" s="88" customFormat="1" ht="27">
      <c r="E5" s="569" t="str">
        <f>OsnPodaci!$B$27</f>
        <v>DUF "Blago" d.o.o.</v>
      </c>
      <c r="F5" s="569"/>
      <c r="G5" s="569"/>
      <c r="H5" s="569"/>
      <c r="I5" s="569"/>
      <c r="J5" s="230"/>
      <c r="K5" s="230"/>
      <c r="L5" s="569"/>
      <c r="M5" s="569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363"/>
      <c r="BB5" s="230"/>
      <c r="BC5" s="230"/>
      <c r="BD5" s="230"/>
      <c r="BE5" s="571"/>
      <c r="BF5" s="233"/>
      <c r="BG5" s="1068"/>
    </row>
    <row r="6" spans="5:59" s="89" customFormat="1" ht="31.5" customHeight="1">
      <c r="E6" s="582" t="s">
        <v>1934</v>
      </c>
      <c r="F6" s="252"/>
      <c r="G6" s="252"/>
      <c r="H6" s="252"/>
      <c r="I6" s="252"/>
      <c r="J6" s="257"/>
      <c r="K6" s="257"/>
      <c r="L6" s="252"/>
      <c r="M6" s="230"/>
      <c r="N6" s="230"/>
      <c r="O6" s="230"/>
      <c r="P6" s="230"/>
      <c r="Q6" s="230"/>
      <c r="R6" s="230"/>
      <c r="S6" s="257"/>
      <c r="T6" s="257"/>
      <c r="U6" s="257"/>
      <c r="V6" s="257"/>
      <c r="W6" s="257"/>
      <c r="X6" s="257"/>
      <c r="Y6" s="257"/>
      <c r="Z6" s="257"/>
      <c r="AA6" s="257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363"/>
      <c r="BD6" s="363"/>
      <c r="BE6" s="572"/>
      <c r="BF6" s="236"/>
      <c r="BG6" s="1068"/>
    </row>
    <row r="7" spans="5:59" s="88" customFormat="1" ht="27">
      <c r="E7" s="569" t="str">
        <f>CONCATENATE(OsnPodaci!$E$27,"; ",OsnPodaci!$A$27)</f>
        <v>65-01-0034-11; 4200052540007</v>
      </c>
      <c r="F7" s="569"/>
      <c r="G7" s="569"/>
      <c r="H7" s="569"/>
      <c r="I7" s="569"/>
      <c r="J7" s="230"/>
      <c r="K7" s="230"/>
      <c r="L7" s="569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363"/>
      <c r="BD7" s="230"/>
      <c r="BE7" s="571" t="str">
        <f>IF('#UNOS'!B12="","",'#UNOS'!B12)</f>
        <v>108</v>
      </c>
      <c r="BF7" s="233"/>
      <c r="BG7" s="1068"/>
    </row>
    <row r="8" spans="5:59" s="89" customFormat="1" ht="31.5" customHeight="1">
      <c r="E8" s="582" t="s">
        <v>2080</v>
      </c>
      <c r="F8" s="252"/>
      <c r="G8" s="252"/>
      <c r="H8" s="252"/>
      <c r="I8" s="252"/>
      <c r="J8" s="257"/>
      <c r="K8" s="257"/>
      <c r="L8" s="252"/>
      <c r="M8" s="230"/>
      <c r="N8" s="230"/>
      <c r="O8" s="230"/>
      <c r="P8" s="230"/>
      <c r="Q8" s="230"/>
      <c r="R8" s="230"/>
      <c r="S8" s="257"/>
      <c r="T8" s="257"/>
      <c r="U8" s="257"/>
      <c r="V8" s="257"/>
      <c r="W8" s="257"/>
      <c r="X8" s="257"/>
      <c r="Y8" s="257"/>
      <c r="Z8" s="257"/>
      <c r="AA8" s="257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52"/>
      <c r="BB8" s="230"/>
      <c r="BC8" s="230"/>
      <c r="BD8" s="230"/>
      <c r="BE8" s="580" t="s">
        <v>12</v>
      </c>
      <c r="BF8" s="236"/>
      <c r="BG8" s="1068"/>
    </row>
    <row r="9" spans="5:59" s="88" customFormat="1" ht="24.75" customHeight="1">
      <c r="E9" s="575" t="str">
        <f>OsnPodaci!$D$7</f>
        <v>zjp-031-10</v>
      </c>
      <c r="F9" s="569"/>
      <c r="G9" s="569"/>
      <c r="H9" s="569"/>
      <c r="I9" s="569"/>
      <c r="J9" s="230"/>
      <c r="K9" s="230"/>
      <c r="L9" s="569"/>
      <c r="M9" s="576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58"/>
      <c r="BB9" s="258"/>
      <c r="BC9" s="252"/>
      <c r="BD9" s="230"/>
      <c r="BE9" s="577" t="str">
        <f>OsnPodaci!$B$23</f>
        <v>Raiffeisen Bank d.d. BiH</v>
      </c>
      <c r="BF9" s="233"/>
      <c r="BG9" s="1068"/>
    </row>
    <row r="10" spans="5:59" s="89" customFormat="1" ht="31.5" customHeight="1">
      <c r="E10" s="582" t="s">
        <v>1937</v>
      </c>
      <c r="F10" s="252"/>
      <c r="G10" s="252"/>
      <c r="H10" s="252"/>
      <c r="I10" s="252"/>
      <c r="J10" s="257"/>
      <c r="K10" s="257"/>
      <c r="L10" s="252"/>
      <c r="M10" s="252"/>
      <c r="N10" s="569"/>
      <c r="O10" s="258"/>
      <c r="P10" s="258"/>
      <c r="Q10" s="258"/>
      <c r="R10" s="230"/>
      <c r="S10" s="257"/>
      <c r="T10" s="257"/>
      <c r="U10" s="257"/>
      <c r="V10" s="257"/>
      <c r="W10" s="257"/>
      <c r="X10" s="257"/>
      <c r="Y10" s="257"/>
      <c r="Z10" s="257"/>
      <c r="AA10" s="257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43"/>
      <c r="AY10" s="243"/>
      <c r="AZ10" s="243"/>
      <c r="BA10" s="243"/>
      <c r="BB10" s="243"/>
      <c r="BC10" s="243"/>
      <c r="BD10" s="243"/>
      <c r="BE10" s="580" t="s">
        <v>14</v>
      </c>
      <c r="BF10" s="236"/>
      <c r="BG10" s="1068"/>
    </row>
    <row r="11" spans="5:59" s="90" customFormat="1" ht="27" customHeight="1">
      <c r="E11" s="581" t="str">
        <f>IF(AND(OsnPodaci!A16="DA",LEN(OsnPodaci!B16)=12),OsnPodaci!B16,"-")</f>
        <v>-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571"/>
      <c r="AM11" s="571"/>
      <c r="AN11" s="89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9" t="str">
        <f>OsnPodaci!$A$23</f>
        <v>1610000031640053</v>
      </c>
      <c r="BF11" s="241"/>
      <c r="BG11" s="1068"/>
    </row>
    <row r="12" spans="5:59" s="89" customFormat="1" ht="31.5" customHeight="1">
      <c r="E12" s="582" t="s">
        <v>2081</v>
      </c>
      <c r="F12" s="161"/>
      <c r="G12" s="161"/>
      <c r="H12" s="161"/>
      <c r="I12" s="161"/>
      <c r="J12" s="161"/>
      <c r="K12" s="161"/>
      <c r="L12" s="242"/>
      <c r="M12" s="242"/>
      <c r="N12" s="242"/>
      <c r="O12" s="242"/>
      <c r="P12" s="242"/>
      <c r="Q12" s="242"/>
      <c r="R12" s="242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42"/>
      <c r="AL12" s="242"/>
      <c r="AM12" s="242"/>
      <c r="AN12" s="242"/>
      <c r="AO12" s="242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580" t="s">
        <v>1949</v>
      </c>
      <c r="BF12" s="236"/>
      <c r="BG12" s="1068"/>
    </row>
    <row r="13" spans="5:59" s="89" customFormat="1" ht="66" customHeight="1"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36"/>
      <c r="AR13" s="242"/>
      <c r="AS13" s="242"/>
      <c r="AT13" s="242"/>
      <c r="AU13" s="242"/>
      <c r="AV13" s="242"/>
      <c r="AW13" s="242"/>
      <c r="AX13" s="242"/>
      <c r="AY13" s="242"/>
      <c r="AZ13" s="242"/>
      <c r="BA13" s="236"/>
      <c r="BB13" s="242"/>
      <c r="BC13" s="242"/>
      <c r="BD13" s="242"/>
      <c r="BE13" s="242"/>
      <c r="BF13" s="236"/>
      <c r="BG13" s="1068"/>
    </row>
    <row r="14" spans="5:59" ht="30">
      <c r="E14" s="1037" t="s">
        <v>2358</v>
      </c>
      <c r="F14" s="1037"/>
      <c r="G14" s="1037"/>
      <c r="H14" s="1037"/>
      <c r="I14" s="1037"/>
      <c r="J14" s="1037"/>
      <c r="K14" s="1037"/>
      <c r="L14" s="1037"/>
      <c r="M14" s="1037"/>
      <c r="N14" s="1037"/>
      <c r="O14" s="1037"/>
      <c r="P14" s="1037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1037"/>
      <c r="AC14" s="1037"/>
      <c r="AD14" s="1037"/>
      <c r="AE14" s="1037"/>
      <c r="AF14" s="1037"/>
      <c r="AG14" s="1037"/>
      <c r="AH14" s="1037"/>
      <c r="AI14" s="1037"/>
      <c r="AJ14" s="1037"/>
      <c r="AK14" s="1037"/>
      <c r="AL14" s="1037"/>
      <c r="AM14" s="1037"/>
      <c r="AN14" s="1037"/>
      <c r="AO14" s="1037"/>
      <c r="AP14" s="1037"/>
      <c r="AQ14" s="1037"/>
      <c r="AR14" s="1037"/>
      <c r="AS14" s="1037"/>
      <c r="AT14" s="1037"/>
      <c r="AU14" s="1037"/>
      <c r="AV14" s="1037"/>
      <c r="AW14" s="1037"/>
      <c r="AX14" s="1037"/>
      <c r="AY14" s="1037"/>
      <c r="AZ14" s="1037"/>
      <c r="BA14" s="1037"/>
      <c r="BB14" s="1037"/>
      <c r="BC14" s="1037"/>
      <c r="BD14" s="1037"/>
      <c r="BE14" s="1037"/>
      <c r="BF14" s="230"/>
      <c r="BG14" s="1068"/>
    </row>
    <row r="15" spans="5:59" ht="23.45" hidden="1" customHeight="1">
      <c r="E15" s="1038"/>
      <c r="F15" s="1038"/>
      <c r="G15" s="1038"/>
      <c r="H15" s="1038"/>
      <c r="I15" s="1038"/>
      <c r="J15" s="1038"/>
      <c r="K15" s="1038"/>
      <c r="L15" s="1038"/>
      <c r="M15" s="1038"/>
      <c r="N15" s="1038"/>
      <c r="O15" s="1038"/>
      <c r="P15" s="1038"/>
      <c r="Q15" s="1038"/>
      <c r="R15" s="1038"/>
      <c r="S15" s="1038"/>
      <c r="T15" s="1038"/>
      <c r="U15" s="1038"/>
      <c r="V15" s="1038"/>
      <c r="W15" s="1038"/>
      <c r="X15" s="1038"/>
      <c r="Y15" s="1038"/>
      <c r="Z15" s="1038"/>
      <c r="AA15" s="1038"/>
      <c r="AB15" s="1038"/>
      <c r="AC15" s="1038"/>
      <c r="AD15" s="1038"/>
      <c r="AE15" s="1038"/>
      <c r="AF15" s="1038"/>
      <c r="AG15" s="1038"/>
      <c r="AH15" s="1038"/>
      <c r="AI15" s="1038"/>
      <c r="AJ15" s="1038"/>
      <c r="AK15" s="1038"/>
      <c r="AL15" s="1038"/>
      <c r="AM15" s="1038"/>
      <c r="AN15" s="1038"/>
      <c r="AO15" s="1038"/>
      <c r="AP15" s="1038"/>
      <c r="AQ15" s="1038"/>
      <c r="AR15" s="1038"/>
      <c r="AS15" s="1038"/>
      <c r="AT15" s="1038"/>
      <c r="AU15" s="1038"/>
      <c r="AV15" s="1038"/>
      <c r="AW15" s="1038"/>
      <c r="AX15" s="1038"/>
      <c r="AY15" s="1038"/>
      <c r="AZ15" s="1038"/>
      <c r="BA15" s="1038"/>
      <c r="BB15" s="1038"/>
      <c r="BC15" s="1038"/>
      <c r="BD15" s="1038"/>
      <c r="BE15" s="1038"/>
      <c r="BF15" s="230"/>
      <c r="BG15" s="1068"/>
    </row>
    <row r="16" spans="5:59" ht="47.25" customHeight="1">
      <c r="E16" s="1039" t="str">
        <f>IF(OR(OsnPodaci!A58="",OsnPodaci!B58=""),"Unijeti interval izvještavanja.","za period od "&amp;TEXT(OsnPodaci!A58,"dd.mm.yyyy.")&amp;" do "&amp;TEXT(OsnPodaci!B58,"dd.mm.yyyy.")&amp;" godine")</f>
        <v>za period od 01.01.2022. do 31.12.2022. godine</v>
      </c>
      <c r="F16" s="1039"/>
      <c r="G16" s="1039"/>
      <c r="H16" s="1039"/>
      <c r="I16" s="1039"/>
      <c r="J16" s="1039"/>
      <c r="K16" s="1039"/>
      <c r="L16" s="1039"/>
      <c r="M16" s="1039"/>
      <c r="N16" s="1039"/>
      <c r="O16" s="1039"/>
      <c r="P16" s="1039"/>
      <c r="Q16" s="1039"/>
      <c r="R16" s="1039"/>
      <c r="S16" s="1039"/>
      <c r="T16" s="1039"/>
      <c r="U16" s="1039"/>
      <c r="V16" s="1039"/>
      <c r="W16" s="1039"/>
      <c r="X16" s="1039"/>
      <c r="Y16" s="1039"/>
      <c r="Z16" s="1039"/>
      <c r="AA16" s="1039"/>
      <c r="AB16" s="1039"/>
      <c r="AC16" s="1039"/>
      <c r="AD16" s="1039"/>
      <c r="AE16" s="1039"/>
      <c r="AF16" s="1039"/>
      <c r="AG16" s="1039"/>
      <c r="AH16" s="1039"/>
      <c r="AI16" s="1039"/>
      <c r="AJ16" s="1039"/>
      <c r="AK16" s="1039"/>
      <c r="AL16" s="1039"/>
      <c r="AM16" s="1039"/>
      <c r="AN16" s="1039"/>
      <c r="AO16" s="1039"/>
      <c r="AP16" s="1039"/>
      <c r="AQ16" s="1039"/>
      <c r="AR16" s="1039"/>
      <c r="AS16" s="1039"/>
      <c r="AT16" s="1039"/>
      <c r="AU16" s="1039"/>
      <c r="AV16" s="1039"/>
      <c r="AW16" s="1039"/>
      <c r="AX16" s="1039"/>
      <c r="AY16" s="1039"/>
      <c r="AZ16" s="1039"/>
      <c r="BA16" s="1039"/>
      <c r="BB16" s="1039"/>
      <c r="BC16" s="1039"/>
      <c r="BD16" s="1039"/>
      <c r="BE16" s="1039"/>
      <c r="BF16" s="230"/>
      <c r="BG16" s="1068"/>
    </row>
    <row r="17" spans="1:58" ht="35.450000000000003" customHeight="1">
      <c r="E17" s="244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1040" t="s">
        <v>2084</v>
      </c>
      <c r="AZ17" s="1040"/>
      <c r="BA17" s="1040"/>
      <c r="BB17" s="1040"/>
      <c r="BC17" s="1040"/>
      <c r="BD17" s="1040"/>
      <c r="BE17" s="1040"/>
      <c r="BF17" s="230"/>
    </row>
    <row r="18" spans="1:58" ht="21.75" customHeight="1">
      <c r="E18" s="1041" t="s">
        <v>2085</v>
      </c>
      <c r="F18" s="1041"/>
      <c r="G18" s="1041"/>
      <c r="H18" s="1041"/>
      <c r="I18" s="1042" t="s">
        <v>2050</v>
      </c>
      <c r="J18" s="1042"/>
      <c r="K18" s="1042"/>
      <c r="L18" s="1042"/>
      <c r="M18" s="1042"/>
      <c r="N18" s="1042"/>
      <c r="O18" s="1042"/>
      <c r="P18" s="1042"/>
      <c r="Q18" s="1042"/>
      <c r="R18" s="1042"/>
      <c r="S18" s="1042"/>
      <c r="T18" s="1042"/>
      <c r="U18" s="1042"/>
      <c r="V18" s="1042"/>
      <c r="W18" s="1042"/>
      <c r="X18" s="1042"/>
      <c r="Y18" s="1042"/>
      <c r="Z18" s="1042"/>
      <c r="AA18" s="1042"/>
      <c r="AB18" s="1042"/>
      <c r="AC18" s="1042"/>
      <c r="AD18" s="1042"/>
      <c r="AE18" s="1042"/>
      <c r="AF18" s="1042"/>
      <c r="AG18" s="1042"/>
      <c r="AH18" s="1042"/>
      <c r="AI18" s="1041" t="s">
        <v>2359</v>
      </c>
      <c r="AJ18" s="1041"/>
      <c r="AK18" s="1041"/>
      <c r="AL18" s="1042" t="s">
        <v>2360</v>
      </c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 t="s">
        <v>2361</v>
      </c>
      <c r="AW18" s="1042"/>
      <c r="AX18" s="1042"/>
      <c r="AY18" s="1042"/>
      <c r="AZ18" s="1042"/>
      <c r="BA18" s="1042"/>
      <c r="BB18" s="1042"/>
      <c r="BC18" s="1042"/>
      <c r="BD18" s="1042"/>
      <c r="BE18" s="1042"/>
      <c r="BF18" s="230"/>
    </row>
    <row r="19" spans="1:58" s="91" customFormat="1" ht="21.75" customHeight="1">
      <c r="E19" s="1041"/>
      <c r="F19" s="1041"/>
      <c r="G19" s="1041"/>
      <c r="H19" s="1041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2"/>
      <c r="Z19" s="1042"/>
      <c r="AA19" s="1042"/>
      <c r="AB19" s="1042"/>
      <c r="AC19" s="1042"/>
      <c r="AD19" s="1042"/>
      <c r="AE19" s="1042"/>
      <c r="AF19" s="1042"/>
      <c r="AG19" s="1042"/>
      <c r="AH19" s="1042"/>
      <c r="AI19" s="1041"/>
      <c r="AJ19" s="1041"/>
      <c r="AK19" s="1041"/>
      <c r="AL19" s="1042"/>
      <c r="AM19" s="1042"/>
      <c r="AN19" s="1042"/>
      <c r="AO19" s="1042"/>
      <c r="AP19" s="1042"/>
      <c r="AQ19" s="1042"/>
      <c r="AR19" s="1042"/>
      <c r="AS19" s="1042"/>
      <c r="AT19" s="1042"/>
      <c r="AU19" s="1042"/>
      <c r="AV19" s="1042"/>
      <c r="AW19" s="1042"/>
      <c r="AX19" s="1042"/>
      <c r="AY19" s="1042"/>
      <c r="AZ19" s="1042"/>
      <c r="BA19" s="1042"/>
      <c r="BB19" s="1042"/>
      <c r="BC19" s="1042"/>
      <c r="BD19" s="1042"/>
      <c r="BE19" s="1042"/>
      <c r="BF19" s="246"/>
    </row>
    <row r="20" spans="1:58" ht="21.75" customHeight="1">
      <c r="E20" s="1041"/>
      <c r="F20" s="1041"/>
      <c r="G20" s="1041"/>
      <c r="H20" s="1041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1"/>
      <c r="AJ20" s="1041"/>
      <c r="AK20" s="1041"/>
      <c r="AL20" s="1042"/>
      <c r="AM20" s="1042"/>
      <c r="AN20" s="1042"/>
      <c r="AO20" s="1042"/>
      <c r="AP20" s="1042"/>
      <c r="AQ20" s="1042"/>
      <c r="AR20" s="1042"/>
      <c r="AS20" s="1042"/>
      <c r="AT20" s="1042"/>
      <c r="AU20" s="1042"/>
      <c r="AV20" s="1042"/>
      <c r="AW20" s="1042"/>
      <c r="AX20" s="1042"/>
      <c r="AY20" s="1042"/>
      <c r="AZ20" s="1042"/>
      <c r="BA20" s="1042"/>
      <c r="BB20" s="1042"/>
      <c r="BC20" s="1042"/>
      <c r="BD20" s="1042"/>
      <c r="BE20" s="1042"/>
      <c r="BF20" s="230"/>
    </row>
    <row r="21" spans="1:58" ht="28.5" customHeight="1">
      <c r="E21" s="1043">
        <v>1</v>
      </c>
      <c r="F21" s="1043"/>
      <c r="G21" s="1043"/>
      <c r="H21" s="1043"/>
      <c r="I21" s="1044">
        <v>2</v>
      </c>
      <c r="J21" s="1044"/>
      <c r="K21" s="1044"/>
      <c r="L21" s="1044"/>
      <c r="M21" s="1044"/>
      <c r="N21" s="1044"/>
      <c r="O21" s="1044"/>
      <c r="P21" s="1044"/>
      <c r="Q21" s="1044"/>
      <c r="R21" s="1044"/>
      <c r="S21" s="1044"/>
      <c r="T21" s="1044"/>
      <c r="U21" s="1044"/>
      <c r="V21" s="1044"/>
      <c r="W21" s="1044"/>
      <c r="X21" s="1044"/>
      <c r="Y21" s="1044"/>
      <c r="Z21" s="1044"/>
      <c r="AA21" s="1044"/>
      <c r="AB21" s="1044"/>
      <c r="AC21" s="1044"/>
      <c r="AD21" s="1044"/>
      <c r="AE21" s="1044"/>
      <c r="AF21" s="1044"/>
      <c r="AG21" s="1044"/>
      <c r="AH21" s="1044"/>
      <c r="AI21" s="1044">
        <v>3</v>
      </c>
      <c r="AJ21" s="1044"/>
      <c r="AK21" s="1044"/>
      <c r="AL21" s="1044">
        <v>4</v>
      </c>
      <c r="AM21" s="1044"/>
      <c r="AN21" s="1044"/>
      <c r="AO21" s="1044"/>
      <c r="AP21" s="1044"/>
      <c r="AQ21" s="1044"/>
      <c r="AR21" s="1044"/>
      <c r="AS21" s="1044"/>
      <c r="AT21" s="1044"/>
      <c r="AU21" s="1044"/>
      <c r="AV21" s="1044">
        <v>5</v>
      </c>
      <c r="AW21" s="1044"/>
      <c r="AX21" s="1044"/>
      <c r="AY21" s="1044"/>
      <c r="AZ21" s="1044"/>
      <c r="BA21" s="1044"/>
      <c r="BB21" s="1044"/>
      <c r="BC21" s="1044"/>
      <c r="BD21" s="1044"/>
      <c r="BE21" s="1044"/>
      <c r="BF21" s="230"/>
    </row>
    <row r="22" spans="1:58" s="92" customFormat="1" ht="43.5" customHeight="1">
      <c r="A22" s="92">
        <v>0.01</v>
      </c>
      <c r="B22" s="92">
        <v>0.17</v>
      </c>
      <c r="C22" s="92">
        <f>IF(LEN(AL22)=0,"",1+ABS((AL22*A22)/LEN(AL22))+AL22)</f>
        <v>25255075.431249999</v>
      </c>
      <c r="D22" s="92">
        <f>IF(LEN(AV22)=0,"",1+ABS((AV22*B22)/LEN(AV22))+AV22)</f>
        <v>19939199.52375</v>
      </c>
      <c r="E22" s="1045" t="s">
        <v>2091</v>
      </c>
      <c r="F22" s="1045"/>
      <c r="G22" s="1045"/>
      <c r="H22" s="1045"/>
      <c r="I22" s="1046" t="s">
        <v>2362</v>
      </c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6"/>
      <c r="AG22" s="1046"/>
      <c r="AH22" s="1046"/>
      <c r="AI22" s="1042">
        <v>301</v>
      </c>
      <c r="AJ22" s="1042"/>
      <c r="AK22" s="1042"/>
      <c r="AL22" s="1047">
        <v>25223545</v>
      </c>
      <c r="AM22" s="1047"/>
      <c r="AN22" s="1047"/>
      <c r="AO22" s="1047"/>
      <c r="AP22" s="1047"/>
      <c r="AQ22" s="1047"/>
      <c r="AR22" s="1047"/>
      <c r="AS22" s="1047"/>
      <c r="AT22" s="1047"/>
      <c r="AU22" s="1047"/>
      <c r="AV22" s="1047">
        <v>19524307</v>
      </c>
      <c r="AW22" s="1047"/>
      <c r="AX22" s="1047"/>
      <c r="AY22" s="1047"/>
      <c r="AZ22" s="1047"/>
      <c r="BA22" s="1047"/>
      <c r="BB22" s="1047"/>
      <c r="BC22" s="1047"/>
      <c r="BD22" s="1047"/>
      <c r="BE22" s="1047"/>
      <c r="BF22" s="246"/>
    </row>
    <row r="23" spans="1:58" ht="43.5" customHeight="1">
      <c r="B23" t="str">
        <f>IF(LEN(AK23)=0,"",1+ABS((AK23*#REF!)/LEN(AK23))+#REF!)</f>
        <v/>
      </c>
      <c r="C23" t="str">
        <f t="shared" ref="C23:C42" si="0">IF(LEN(AL23)=0,"",1+ABS((AL23*A23)/LEN(AL23))+AL23)</f>
        <v/>
      </c>
      <c r="D23" t="str">
        <f t="shared" ref="D23:D42" si="1">IF(LEN(AV23)=0,"",1+ABS((AV23*B23)/LEN(AV23))+AV23)</f>
        <v/>
      </c>
      <c r="E23" s="1048"/>
      <c r="F23" s="1048"/>
      <c r="G23" s="1048"/>
      <c r="H23" s="1048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49"/>
      <c r="AG23" s="1049"/>
      <c r="AH23" s="1049"/>
      <c r="AI23" s="1042"/>
      <c r="AJ23" s="1042"/>
      <c r="AK23" s="1042"/>
      <c r="AL23" s="1050"/>
      <c r="AM23" s="1050"/>
      <c r="AN23" s="1050"/>
      <c r="AO23" s="1050"/>
      <c r="AP23" s="1050"/>
      <c r="AQ23" s="1050"/>
      <c r="AR23" s="1050"/>
      <c r="AS23" s="1050"/>
      <c r="AT23" s="1050"/>
      <c r="AU23" s="1050"/>
      <c r="AV23" s="1050"/>
      <c r="AW23" s="1050"/>
      <c r="AX23" s="1050"/>
      <c r="AY23" s="1050"/>
      <c r="AZ23" s="1050"/>
      <c r="BA23" s="1050"/>
      <c r="BB23" s="1050"/>
      <c r="BC23" s="1050"/>
      <c r="BD23" s="1050"/>
      <c r="BE23" s="1050"/>
      <c r="BF23" s="230"/>
    </row>
    <row r="24" spans="1:58" ht="43.5" customHeight="1">
      <c r="A24">
        <v>0.02</v>
      </c>
      <c r="B24">
        <v>0.18</v>
      </c>
      <c r="C24" t="str">
        <f t="shared" si="0"/>
        <v/>
      </c>
      <c r="D24" t="str">
        <f t="shared" si="1"/>
        <v/>
      </c>
      <c r="E24" s="1048" t="s">
        <v>2093</v>
      </c>
      <c r="F24" s="1048"/>
      <c r="G24" s="1048"/>
      <c r="H24" s="1048"/>
      <c r="I24" s="1051" t="s">
        <v>2363</v>
      </c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052"/>
      <c r="AC24" s="1052"/>
      <c r="AD24" s="1052"/>
      <c r="AE24" s="1052"/>
      <c r="AF24" s="1052"/>
      <c r="AG24" s="1052"/>
      <c r="AH24" s="1053"/>
      <c r="AI24" s="1054">
        <v>302</v>
      </c>
      <c r="AJ24" s="1054"/>
      <c r="AK24" s="1054"/>
      <c r="AL24" s="1055"/>
      <c r="AM24" s="1056"/>
      <c r="AN24" s="1056"/>
      <c r="AO24" s="1056"/>
      <c r="AP24" s="1056"/>
      <c r="AQ24" s="1056"/>
      <c r="AR24" s="1056"/>
      <c r="AS24" s="1056"/>
      <c r="AT24" s="1056"/>
      <c r="AU24" s="1057"/>
      <c r="AV24" s="1055"/>
      <c r="AW24" s="1056"/>
      <c r="AX24" s="1056"/>
      <c r="AY24" s="1056"/>
      <c r="AZ24" s="1056"/>
      <c r="BA24" s="1056"/>
      <c r="BB24" s="1056"/>
      <c r="BC24" s="1056"/>
      <c r="BD24" s="1056"/>
      <c r="BE24" s="1057"/>
      <c r="BF24" s="230"/>
    </row>
    <row r="25" spans="1:58" ht="43.5" customHeight="1">
      <c r="A25">
        <v>0.03</v>
      </c>
      <c r="B25">
        <v>0.19</v>
      </c>
      <c r="C25" t="str">
        <f t="shared" si="0"/>
        <v/>
      </c>
      <c r="D25" t="str">
        <f t="shared" si="1"/>
        <v/>
      </c>
      <c r="E25" s="1048" t="s">
        <v>2101</v>
      </c>
      <c r="F25" s="1048"/>
      <c r="G25" s="1048"/>
      <c r="H25" s="1048"/>
      <c r="I25" s="1049" t="s">
        <v>2364</v>
      </c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49"/>
      <c r="AA25" s="1049"/>
      <c r="AB25" s="1049"/>
      <c r="AC25" s="1049"/>
      <c r="AD25" s="1049"/>
      <c r="AE25" s="1049"/>
      <c r="AF25" s="1049"/>
      <c r="AG25" s="1049"/>
      <c r="AH25" s="1049"/>
      <c r="AI25" s="1054">
        <v>303</v>
      </c>
      <c r="AJ25" s="1054"/>
      <c r="AK25" s="1054"/>
      <c r="AL25" s="1055"/>
      <c r="AM25" s="1056"/>
      <c r="AN25" s="1056"/>
      <c r="AO25" s="1056"/>
      <c r="AP25" s="1056"/>
      <c r="AQ25" s="1056"/>
      <c r="AR25" s="1056"/>
      <c r="AS25" s="1056"/>
      <c r="AT25" s="1056"/>
      <c r="AU25" s="1057"/>
      <c r="AV25" s="1055"/>
      <c r="AW25" s="1056"/>
      <c r="AX25" s="1056"/>
      <c r="AY25" s="1056"/>
      <c r="AZ25" s="1056"/>
      <c r="BA25" s="1056"/>
      <c r="BB25" s="1056"/>
      <c r="BC25" s="1056"/>
      <c r="BD25" s="1056"/>
      <c r="BE25" s="1057"/>
      <c r="BF25" s="230"/>
    </row>
    <row r="26" spans="1:58" ht="60.75" customHeight="1">
      <c r="A26">
        <v>0.04</v>
      </c>
      <c r="B26">
        <v>0.2</v>
      </c>
      <c r="C26">
        <f t="shared" si="0"/>
        <v>25349663.725000001</v>
      </c>
      <c r="D26">
        <f t="shared" si="1"/>
        <v>20012415.675000001</v>
      </c>
      <c r="E26" s="1048" t="s">
        <v>2108</v>
      </c>
      <c r="F26" s="1048"/>
      <c r="G26" s="1048"/>
      <c r="H26" s="1048"/>
      <c r="I26" s="1049" t="s">
        <v>2365</v>
      </c>
      <c r="J26" s="1049"/>
      <c r="K26" s="1049"/>
      <c r="L26" s="1049"/>
      <c r="M26" s="1049"/>
      <c r="N26" s="1049"/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  <c r="Y26" s="1049"/>
      <c r="Z26" s="1049"/>
      <c r="AA26" s="1049"/>
      <c r="AB26" s="1049"/>
      <c r="AC26" s="1049"/>
      <c r="AD26" s="1049"/>
      <c r="AE26" s="1049"/>
      <c r="AF26" s="1049"/>
      <c r="AG26" s="1049"/>
      <c r="AH26" s="1049"/>
      <c r="AI26" s="1054">
        <v>304</v>
      </c>
      <c r="AJ26" s="1054"/>
      <c r="AK26" s="1054"/>
      <c r="AL26" s="1058">
        <f>IFERROR(IF(AND(AL22,AL24,AL25)="","",SUM(AL22,AL24,AL25)),"")</f>
        <v>25223545</v>
      </c>
      <c r="AM26" s="1059"/>
      <c r="AN26" s="1059"/>
      <c r="AO26" s="1059"/>
      <c r="AP26" s="1059"/>
      <c r="AQ26" s="1059"/>
      <c r="AR26" s="1059"/>
      <c r="AS26" s="1059"/>
      <c r="AT26" s="1059"/>
      <c r="AU26" s="1060"/>
      <c r="AV26" s="1058">
        <f>IFERROR(IF(AND(AV22,AV24,AV25)="","",SUM(AV22,AV24,AV25)),"")</f>
        <v>19524307</v>
      </c>
      <c r="AW26" s="1059"/>
      <c r="AX26" s="1059"/>
      <c r="AY26" s="1059"/>
      <c r="AZ26" s="1059"/>
      <c r="BA26" s="1059"/>
      <c r="BB26" s="1059"/>
      <c r="BC26" s="1059"/>
      <c r="BD26" s="1059"/>
      <c r="BE26" s="1060"/>
      <c r="BF26" s="230"/>
    </row>
    <row r="27" spans="1:58" ht="43.5" customHeight="1">
      <c r="B27" t="str">
        <f>IF(LEN(AK27)=0,"",1+ABS((AK27*#REF!)/LEN(AK27))+#REF!)</f>
        <v/>
      </c>
      <c r="C27" t="str">
        <f t="shared" si="0"/>
        <v/>
      </c>
      <c r="D27" t="str">
        <f t="shared" si="1"/>
        <v/>
      </c>
      <c r="E27" s="1048"/>
      <c r="F27" s="1048"/>
      <c r="G27" s="1048"/>
      <c r="H27" s="1048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49"/>
      <c r="AG27" s="1049"/>
      <c r="AH27" s="1049"/>
      <c r="AI27" s="1054"/>
      <c r="AJ27" s="1054"/>
      <c r="AK27" s="1054"/>
      <c r="AL27" s="1058"/>
      <c r="AM27" s="1059"/>
      <c r="AN27" s="1059"/>
      <c r="AO27" s="1059"/>
      <c r="AP27" s="1059"/>
      <c r="AQ27" s="1059"/>
      <c r="AR27" s="1059"/>
      <c r="AS27" s="1059"/>
      <c r="AT27" s="1059"/>
      <c r="AU27" s="1060"/>
      <c r="AV27" s="1058"/>
      <c r="AW27" s="1059"/>
      <c r="AX27" s="1059"/>
      <c r="AY27" s="1059"/>
      <c r="AZ27" s="1059"/>
      <c r="BA27" s="1059"/>
      <c r="BB27" s="1059"/>
      <c r="BC27" s="1059"/>
      <c r="BD27" s="1059"/>
      <c r="BE27" s="1060"/>
      <c r="BF27" s="230"/>
    </row>
    <row r="28" spans="1:58" s="92" customFormat="1" ht="43.5" customHeight="1">
      <c r="A28" s="92">
        <v>0.06</v>
      </c>
      <c r="B28" s="92">
        <v>0.21</v>
      </c>
      <c r="C28" s="92">
        <f t="shared" si="0"/>
        <v>4367806.1571428571</v>
      </c>
      <c r="D28" s="92">
        <f t="shared" si="1"/>
        <v>5870216.1399999997</v>
      </c>
      <c r="E28" s="1045" t="s">
        <v>2122</v>
      </c>
      <c r="F28" s="1045"/>
      <c r="G28" s="1045"/>
      <c r="H28" s="1045"/>
      <c r="I28" s="1046" t="s">
        <v>2366</v>
      </c>
      <c r="J28" s="1046"/>
      <c r="K28" s="1046"/>
      <c r="L28" s="1046"/>
      <c r="M28" s="1046"/>
      <c r="N28" s="1046"/>
      <c r="O28" s="1046"/>
      <c r="P28" s="1046"/>
      <c r="Q28" s="1046"/>
      <c r="R28" s="1046"/>
      <c r="S28" s="1046"/>
      <c r="T28" s="1046"/>
      <c r="U28" s="1046"/>
      <c r="V28" s="1046"/>
      <c r="W28" s="1046"/>
      <c r="X28" s="1046"/>
      <c r="Y28" s="1046"/>
      <c r="Z28" s="1046"/>
      <c r="AA28" s="1046"/>
      <c r="AB28" s="1046"/>
      <c r="AC28" s="1046"/>
      <c r="AD28" s="1046"/>
      <c r="AE28" s="1046"/>
      <c r="AF28" s="1046"/>
      <c r="AG28" s="1046"/>
      <c r="AH28" s="1046"/>
      <c r="AI28" s="1042">
        <v>305</v>
      </c>
      <c r="AJ28" s="1042"/>
      <c r="AK28" s="1042"/>
      <c r="AL28" s="1061">
        <v>4330685</v>
      </c>
      <c r="AM28" s="1062"/>
      <c r="AN28" s="1062"/>
      <c r="AO28" s="1062"/>
      <c r="AP28" s="1062"/>
      <c r="AQ28" s="1062"/>
      <c r="AR28" s="1062"/>
      <c r="AS28" s="1062"/>
      <c r="AT28" s="1062"/>
      <c r="AU28" s="1063"/>
      <c r="AV28" s="1061">
        <v>5699238</v>
      </c>
      <c r="AW28" s="1062"/>
      <c r="AX28" s="1062"/>
      <c r="AY28" s="1062"/>
      <c r="AZ28" s="1062"/>
      <c r="BA28" s="1062"/>
      <c r="BB28" s="1062"/>
      <c r="BC28" s="1062"/>
      <c r="BD28" s="1062"/>
      <c r="BE28" s="1063"/>
      <c r="BF28" s="246"/>
    </row>
    <row r="29" spans="1:58" ht="43.5" customHeight="1">
      <c r="A29">
        <v>7.0000000000000007E-2</v>
      </c>
      <c r="B29">
        <v>0.22</v>
      </c>
      <c r="C29" t="str">
        <f t="shared" si="0"/>
        <v/>
      </c>
      <c r="D29" t="str">
        <f t="shared" si="1"/>
        <v/>
      </c>
      <c r="E29" s="1048" t="s">
        <v>2125</v>
      </c>
      <c r="F29" s="1048"/>
      <c r="G29" s="1048"/>
      <c r="H29" s="1048"/>
      <c r="I29" s="1049" t="s">
        <v>2367</v>
      </c>
      <c r="J29" s="1049"/>
      <c r="K29" s="1049"/>
      <c r="L29" s="1049"/>
      <c r="M29" s="1049"/>
      <c r="N29" s="1049"/>
      <c r="O29" s="1049"/>
      <c r="P29" s="1049"/>
      <c r="Q29" s="1049"/>
      <c r="R29" s="1049"/>
      <c r="S29" s="1049"/>
      <c r="T29" s="1049"/>
      <c r="U29" s="1049"/>
      <c r="V29" s="1049"/>
      <c r="W29" s="1049"/>
      <c r="X29" s="1049"/>
      <c r="Y29" s="1049"/>
      <c r="Z29" s="1049"/>
      <c r="AA29" s="1049"/>
      <c r="AB29" s="1049"/>
      <c r="AC29" s="1049"/>
      <c r="AD29" s="1049"/>
      <c r="AE29" s="1049"/>
      <c r="AF29" s="1049"/>
      <c r="AG29" s="1049"/>
      <c r="AH29" s="1049"/>
      <c r="AI29" s="1054">
        <v>306</v>
      </c>
      <c r="AJ29" s="1054"/>
      <c r="AK29" s="1054"/>
      <c r="AL29" s="1055"/>
      <c r="AM29" s="1056"/>
      <c r="AN29" s="1056"/>
      <c r="AO29" s="1056"/>
      <c r="AP29" s="1056"/>
      <c r="AQ29" s="1056"/>
      <c r="AR29" s="1056"/>
      <c r="AS29" s="1056"/>
      <c r="AT29" s="1056"/>
      <c r="AU29" s="1057"/>
      <c r="AV29" s="1055"/>
      <c r="AW29" s="1056"/>
      <c r="AX29" s="1056"/>
      <c r="AY29" s="1056"/>
      <c r="AZ29" s="1056"/>
      <c r="BA29" s="1056"/>
      <c r="BB29" s="1056"/>
      <c r="BC29" s="1056"/>
      <c r="BD29" s="1056"/>
      <c r="BE29" s="1057"/>
      <c r="BF29" s="230"/>
    </row>
    <row r="30" spans="1:58" ht="43.5" customHeight="1">
      <c r="A30">
        <v>0.08</v>
      </c>
      <c r="B30">
        <v>0.23</v>
      </c>
      <c r="C30">
        <f t="shared" si="0"/>
        <v>4380179.5428571431</v>
      </c>
      <c r="D30">
        <f t="shared" si="1"/>
        <v>5886499.6771428576</v>
      </c>
      <c r="E30" s="1048" t="s">
        <v>2128</v>
      </c>
      <c r="F30" s="1048"/>
      <c r="G30" s="1048"/>
      <c r="H30" s="1048"/>
      <c r="I30" s="1049" t="s">
        <v>2368</v>
      </c>
      <c r="J30" s="1049"/>
      <c r="K30" s="1049"/>
      <c r="L30" s="1049"/>
      <c r="M30" s="1049"/>
      <c r="N30" s="1049"/>
      <c r="O30" s="1049"/>
      <c r="P30" s="1049"/>
      <c r="Q30" s="1049"/>
      <c r="R30" s="1049"/>
      <c r="S30" s="1049"/>
      <c r="T30" s="1049"/>
      <c r="U30" s="1049"/>
      <c r="V30" s="1049"/>
      <c r="W30" s="1049"/>
      <c r="X30" s="1049"/>
      <c r="Y30" s="1049"/>
      <c r="Z30" s="1049"/>
      <c r="AA30" s="1049"/>
      <c r="AB30" s="1049"/>
      <c r="AC30" s="1049"/>
      <c r="AD30" s="1049"/>
      <c r="AE30" s="1049"/>
      <c r="AF30" s="1049"/>
      <c r="AG30" s="1049"/>
      <c r="AH30" s="1049"/>
      <c r="AI30" s="1054">
        <v>307</v>
      </c>
      <c r="AJ30" s="1054"/>
      <c r="AK30" s="1054"/>
      <c r="AL30" s="1058">
        <f>IFERROR(IF(AND(AL28,AL29)="","",SUM(AL28:AU29)),"")</f>
        <v>4330685</v>
      </c>
      <c r="AM30" s="1059"/>
      <c r="AN30" s="1059"/>
      <c r="AO30" s="1059"/>
      <c r="AP30" s="1059"/>
      <c r="AQ30" s="1059"/>
      <c r="AR30" s="1059"/>
      <c r="AS30" s="1059"/>
      <c r="AT30" s="1059"/>
      <c r="AU30" s="1060"/>
      <c r="AV30" s="1058">
        <f>IFERROR(IF(AND(AV28,AV29)="","",SUM(AV28:BE29)),"")</f>
        <v>5699238</v>
      </c>
      <c r="AW30" s="1059"/>
      <c r="AX30" s="1059"/>
      <c r="AY30" s="1059"/>
      <c r="AZ30" s="1059"/>
      <c r="BA30" s="1059"/>
      <c r="BB30" s="1059"/>
      <c r="BC30" s="1059"/>
      <c r="BD30" s="1059"/>
      <c r="BE30" s="1060"/>
      <c r="BF30" s="230"/>
    </row>
    <row r="31" spans="1:58" s="92" customFormat="1" ht="43.5" customHeight="1">
      <c r="B31" s="92" t="str">
        <f>IF(LEN(AK31)=0,"",1+ABS((AK31*#REF!)/LEN(AK31))+#REF!)</f>
        <v/>
      </c>
      <c r="C31" s="92" t="str">
        <f t="shared" si="0"/>
        <v/>
      </c>
      <c r="D31" s="92" t="str">
        <f t="shared" si="1"/>
        <v/>
      </c>
      <c r="E31" s="1045"/>
      <c r="F31" s="1045"/>
      <c r="G31" s="1045"/>
      <c r="H31" s="1045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6"/>
      <c r="AA31" s="1046"/>
      <c r="AB31" s="1046"/>
      <c r="AC31" s="1046"/>
      <c r="AD31" s="1046"/>
      <c r="AE31" s="1046"/>
      <c r="AF31" s="1046"/>
      <c r="AG31" s="1046"/>
      <c r="AH31" s="1046"/>
      <c r="AI31" s="1042"/>
      <c r="AJ31" s="1042"/>
      <c r="AK31" s="1042"/>
      <c r="AL31" s="1058"/>
      <c r="AM31" s="1059"/>
      <c r="AN31" s="1059"/>
      <c r="AO31" s="1059"/>
      <c r="AP31" s="1059"/>
      <c r="AQ31" s="1059"/>
      <c r="AR31" s="1059"/>
      <c r="AS31" s="1059"/>
      <c r="AT31" s="1059"/>
      <c r="AU31" s="1060"/>
      <c r="AV31" s="1058"/>
      <c r="AW31" s="1059"/>
      <c r="AX31" s="1059"/>
      <c r="AY31" s="1059"/>
      <c r="AZ31" s="1059"/>
      <c r="BA31" s="1059"/>
      <c r="BB31" s="1059"/>
      <c r="BC31" s="1059"/>
      <c r="BD31" s="1059"/>
      <c r="BE31" s="1060"/>
      <c r="BF31" s="246"/>
    </row>
    <row r="32" spans="1:58" s="92" customFormat="1" ht="43.5" customHeight="1">
      <c r="A32" s="92">
        <v>0.09</v>
      </c>
      <c r="B32" s="92">
        <v>0.24</v>
      </c>
      <c r="C32" s="92" t="str">
        <f t="shared" si="0"/>
        <v/>
      </c>
      <c r="D32" s="92" t="str">
        <f t="shared" si="1"/>
        <v/>
      </c>
      <c r="E32" s="1045" t="s">
        <v>2130</v>
      </c>
      <c r="F32" s="1045"/>
      <c r="G32" s="1045"/>
      <c r="H32" s="1045"/>
      <c r="I32" s="1046" t="s">
        <v>2369</v>
      </c>
      <c r="J32" s="1046"/>
      <c r="K32" s="1046"/>
      <c r="L32" s="1046"/>
      <c r="M32" s="1046"/>
      <c r="N32" s="1046"/>
      <c r="O32" s="1046"/>
      <c r="P32" s="1046"/>
      <c r="Q32" s="1046"/>
      <c r="R32" s="1046"/>
      <c r="S32" s="1046"/>
      <c r="T32" s="1046"/>
      <c r="U32" s="1046"/>
      <c r="V32" s="1046"/>
      <c r="W32" s="1046"/>
      <c r="X32" s="1046"/>
      <c r="Y32" s="1046"/>
      <c r="Z32" s="1046"/>
      <c r="AA32" s="1046"/>
      <c r="AB32" s="1046"/>
      <c r="AC32" s="1046"/>
      <c r="AD32" s="1046"/>
      <c r="AE32" s="1046"/>
      <c r="AF32" s="1046"/>
      <c r="AG32" s="1046"/>
      <c r="AH32" s="1046"/>
      <c r="AI32" s="1042">
        <v>308</v>
      </c>
      <c r="AJ32" s="1042"/>
      <c r="AK32" s="1042"/>
      <c r="AL32" s="1061"/>
      <c r="AM32" s="1062"/>
      <c r="AN32" s="1062"/>
      <c r="AO32" s="1062"/>
      <c r="AP32" s="1062"/>
      <c r="AQ32" s="1062"/>
      <c r="AR32" s="1062"/>
      <c r="AS32" s="1062"/>
      <c r="AT32" s="1062"/>
      <c r="AU32" s="1063"/>
      <c r="AV32" s="1061"/>
      <c r="AW32" s="1062"/>
      <c r="AX32" s="1062"/>
      <c r="AY32" s="1062"/>
      <c r="AZ32" s="1062"/>
      <c r="BA32" s="1062"/>
      <c r="BB32" s="1062"/>
      <c r="BC32" s="1062"/>
      <c r="BD32" s="1062"/>
      <c r="BE32" s="1063"/>
      <c r="BF32" s="246"/>
    </row>
    <row r="33" spans="1:59" ht="43.5" customHeight="1">
      <c r="A33">
        <v>0.1</v>
      </c>
      <c r="B33">
        <v>0.25</v>
      </c>
      <c r="C33" t="str">
        <f t="shared" si="0"/>
        <v/>
      </c>
      <c r="D33" t="str">
        <f t="shared" si="1"/>
        <v/>
      </c>
      <c r="E33" s="1048" t="s">
        <v>2256</v>
      </c>
      <c r="F33" s="1048"/>
      <c r="G33" s="1048"/>
      <c r="H33" s="1048"/>
      <c r="I33" s="1049" t="s">
        <v>2370</v>
      </c>
      <c r="J33" s="1049"/>
      <c r="K33" s="1049"/>
      <c r="L33" s="1049"/>
      <c r="M33" s="1049"/>
      <c r="N33" s="1049"/>
      <c r="O33" s="1049"/>
      <c r="P33" s="1049"/>
      <c r="Q33" s="1049"/>
      <c r="R33" s="1049"/>
      <c r="S33" s="1049"/>
      <c r="T33" s="1049"/>
      <c r="U33" s="1049"/>
      <c r="V33" s="1049"/>
      <c r="W33" s="1049"/>
      <c r="X33" s="1049"/>
      <c r="Y33" s="1049"/>
      <c r="Z33" s="1049"/>
      <c r="AA33" s="1049"/>
      <c r="AB33" s="1049"/>
      <c r="AC33" s="1049"/>
      <c r="AD33" s="1049"/>
      <c r="AE33" s="1049"/>
      <c r="AF33" s="1049"/>
      <c r="AG33" s="1049"/>
      <c r="AH33" s="1049"/>
      <c r="AI33" s="1054">
        <v>309</v>
      </c>
      <c r="AJ33" s="1054"/>
      <c r="AK33" s="1054"/>
      <c r="AL33" s="1055"/>
      <c r="AM33" s="1056"/>
      <c r="AN33" s="1056"/>
      <c r="AO33" s="1056"/>
      <c r="AP33" s="1056"/>
      <c r="AQ33" s="1056"/>
      <c r="AR33" s="1056"/>
      <c r="AS33" s="1056"/>
      <c r="AT33" s="1056"/>
      <c r="AU33" s="1057"/>
      <c r="AV33" s="1055"/>
      <c r="AW33" s="1056"/>
      <c r="AX33" s="1056"/>
      <c r="AY33" s="1056"/>
      <c r="AZ33" s="1056"/>
      <c r="BA33" s="1056"/>
      <c r="BB33" s="1056"/>
      <c r="BC33" s="1056"/>
      <c r="BD33" s="1056"/>
      <c r="BE33" s="1057"/>
      <c r="BF33" s="230"/>
      <c r="BG33" s="93"/>
    </row>
    <row r="34" spans="1:59" ht="43.5" customHeight="1">
      <c r="A34">
        <v>0.11</v>
      </c>
      <c r="B34">
        <v>0.26</v>
      </c>
      <c r="C34" t="str">
        <f t="shared" si="0"/>
        <v/>
      </c>
      <c r="D34" t="str">
        <f t="shared" si="1"/>
        <v/>
      </c>
      <c r="E34" s="1048" t="s">
        <v>2258</v>
      </c>
      <c r="F34" s="1048"/>
      <c r="G34" s="1048"/>
      <c r="H34" s="1048"/>
      <c r="I34" s="1049" t="s">
        <v>2371</v>
      </c>
      <c r="J34" s="1049"/>
      <c r="K34" s="1049"/>
      <c r="L34" s="1049"/>
      <c r="M34" s="1049"/>
      <c r="N34" s="1049"/>
      <c r="O34" s="1049"/>
      <c r="P34" s="1049"/>
      <c r="Q34" s="1049"/>
      <c r="R34" s="1049"/>
      <c r="S34" s="1049"/>
      <c r="T34" s="1049"/>
      <c r="U34" s="1049"/>
      <c r="V34" s="1049"/>
      <c r="W34" s="1049"/>
      <c r="X34" s="1049"/>
      <c r="Y34" s="1049"/>
      <c r="Z34" s="1049"/>
      <c r="AA34" s="1049"/>
      <c r="AB34" s="1049"/>
      <c r="AC34" s="1049"/>
      <c r="AD34" s="1049"/>
      <c r="AE34" s="1049"/>
      <c r="AF34" s="1049"/>
      <c r="AG34" s="1049"/>
      <c r="AH34" s="1049"/>
      <c r="AI34" s="1054">
        <v>310</v>
      </c>
      <c r="AJ34" s="1054"/>
      <c r="AK34" s="1054"/>
      <c r="AL34" s="1055"/>
      <c r="AM34" s="1056"/>
      <c r="AN34" s="1056"/>
      <c r="AO34" s="1056"/>
      <c r="AP34" s="1056"/>
      <c r="AQ34" s="1056"/>
      <c r="AR34" s="1056"/>
      <c r="AS34" s="1056"/>
      <c r="AT34" s="1056"/>
      <c r="AU34" s="1057"/>
      <c r="AV34" s="1055"/>
      <c r="AW34" s="1056"/>
      <c r="AX34" s="1056"/>
      <c r="AY34" s="1056"/>
      <c r="AZ34" s="1056"/>
      <c r="BA34" s="1056"/>
      <c r="BB34" s="1056"/>
      <c r="BC34" s="1056"/>
      <c r="BD34" s="1056"/>
      <c r="BE34" s="1057"/>
      <c r="BF34" s="230"/>
      <c r="BG34" s="93"/>
    </row>
    <row r="35" spans="1:59" s="92" customFormat="1" ht="43.5" customHeight="1">
      <c r="C35" s="92" t="str">
        <f t="shared" si="0"/>
        <v/>
      </c>
      <c r="D35" s="92" t="str">
        <f t="shared" si="1"/>
        <v/>
      </c>
      <c r="E35" s="1045"/>
      <c r="F35" s="1045"/>
      <c r="G35" s="1045"/>
      <c r="H35" s="1045"/>
      <c r="I35" s="1046"/>
      <c r="J35" s="1046"/>
      <c r="K35" s="1046"/>
      <c r="L35" s="1046"/>
      <c r="M35" s="1046"/>
      <c r="N35" s="1046"/>
      <c r="O35" s="1046"/>
      <c r="P35" s="1046"/>
      <c r="Q35" s="1046"/>
      <c r="R35" s="1046"/>
      <c r="S35" s="1046"/>
      <c r="T35" s="1046"/>
      <c r="U35" s="1046"/>
      <c r="V35" s="1046"/>
      <c r="W35" s="1046"/>
      <c r="X35" s="1046"/>
      <c r="Y35" s="1046"/>
      <c r="Z35" s="1046"/>
      <c r="AA35" s="1046"/>
      <c r="AB35" s="1046"/>
      <c r="AC35" s="1046"/>
      <c r="AD35" s="1046"/>
      <c r="AE35" s="1046"/>
      <c r="AF35" s="1046"/>
      <c r="AG35" s="1046"/>
      <c r="AH35" s="1046"/>
      <c r="AI35" s="1054"/>
      <c r="AJ35" s="1054"/>
      <c r="AK35" s="1054"/>
      <c r="AL35" s="1058"/>
      <c r="AM35" s="1059"/>
      <c r="AN35" s="1059"/>
      <c r="AO35" s="1059"/>
      <c r="AP35" s="1059"/>
      <c r="AQ35" s="1059"/>
      <c r="AR35" s="1059"/>
      <c r="AS35" s="1059"/>
      <c r="AT35" s="1059"/>
      <c r="AU35" s="1060"/>
      <c r="AV35" s="1058"/>
      <c r="AW35" s="1059"/>
      <c r="AX35" s="1059"/>
      <c r="AY35" s="1059"/>
      <c r="AZ35" s="1059"/>
      <c r="BA35" s="1059"/>
      <c r="BB35" s="1059"/>
      <c r="BC35" s="1059"/>
      <c r="BD35" s="1059"/>
      <c r="BE35" s="1060"/>
      <c r="BF35" s="246"/>
      <c r="BG35" s="93"/>
    </row>
    <row r="36" spans="1:59" ht="43.5" customHeight="1">
      <c r="A36">
        <v>0.12</v>
      </c>
      <c r="B36">
        <v>0.27</v>
      </c>
      <c r="C36">
        <f t="shared" si="0"/>
        <v>29997544.449999999</v>
      </c>
      <c r="D36">
        <f t="shared" si="1"/>
        <v>26074840.643750001</v>
      </c>
      <c r="E36" s="1048" t="s">
        <v>2260</v>
      </c>
      <c r="F36" s="1048"/>
      <c r="G36" s="1048"/>
      <c r="H36" s="1048"/>
      <c r="I36" s="1049" t="s">
        <v>2372</v>
      </c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1049"/>
      <c r="V36" s="1049"/>
      <c r="W36" s="1049"/>
      <c r="X36" s="1049"/>
      <c r="Y36" s="1049"/>
      <c r="Z36" s="1049"/>
      <c r="AA36" s="1049"/>
      <c r="AB36" s="1049"/>
      <c r="AC36" s="1049"/>
      <c r="AD36" s="1049"/>
      <c r="AE36" s="1049"/>
      <c r="AF36" s="1049"/>
      <c r="AG36" s="1049"/>
      <c r="AH36" s="1049"/>
      <c r="AI36" s="1054">
        <v>311</v>
      </c>
      <c r="AJ36" s="1054"/>
      <c r="AK36" s="1054"/>
      <c r="AL36" s="1058">
        <f>IFERROR(IF(AND(AL26,AL30,AL32,AL33,AL34)="","",(SUM((AL26)+SUM(AL30)+SUM(AL32)-SUM(AL33)+SUM(AL34)))),"")</f>
        <v>29554230</v>
      </c>
      <c r="AM36" s="1059"/>
      <c r="AN36" s="1059"/>
      <c r="AO36" s="1059"/>
      <c r="AP36" s="1059"/>
      <c r="AQ36" s="1059"/>
      <c r="AR36" s="1059"/>
      <c r="AS36" s="1059"/>
      <c r="AT36" s="1059"/>
      <c r="AU36" s="1060"/>
      <c r="AV36" s="1058">
        <f>IFERROR(IF(AND(AV26,AV30,AV32,AV33,AV34)="","",(SUM((AV26)+SUM(AV30)+SUM(AV32)-SUM(AV33)+SUM(AV34)))),"")</f>
        <v>25223545</v>
      </c>
      <c r="AW36" s="1059"/>
      <c r="AX36" s="1059"/>
      <c r="AY36" s="1059"/>
      <c r="AZ36" s="1059"/>
      <c r="BA36" s="1059"/>
      <c r="BB36" s="1059"/>
      <c r="BC36" s="1059"/>
      <c r="BD36" s="1059"/>
      <c r="BE36" s="1060"/>
      <c r="BF36" s="230"/>
      <c r="BG36" s="93"/>
    </row>
    <row r="37" spans="1:59" ht="43.5" customHeight="1">
      <c r="C37" t="str">
        <f t="shared" si="0"/>
        <v/>
      </c>
      <c r="D37" t="str">
        <f>IF(LEN(AV37)=0,"",1+ABS((AV37*B37)/LEN(AV37))+AV37)</f>
        <v/>
      </c>
      <c r="E37" s="1048"/>
      <c r="F37" s="1048"/>
      <c r="G37" s="1048"/>
      <c r="H37" s="1048"/>
      <c r="I37" s="1049"/>
      <c r="J37" s="1049"/>
      <c r="K37" s="1049"/>
      <c r="L37" s="1049"/>
      <c r="M37" s="1049"/>
      <c r="N37" s="1049"/>
      <c r="O37" s="1049"/>
      <c r="P37" s="1049"/>
      <c r="Q37" s="1049"/>
      <c r="R37" s="1049"/>
      <c r="S37" s="1049"/>
      <c r="T37" s="1049"/>
      <c r="U37" s="1049"/>
      <c r="V37" s="1049"/>
      <c r="W37" s="1049"/>
      <c r="X37" s="1049"/>
      <c r="Y37" s="1049"/>
      <c r="Z37" s="1049"/>
      <c r="AA37" s="1049"/>
      <c r="AB37" s="1049"/>
      <c r="AC37" s="1049"/>
      <c r="AD37" s="1049"/>
      <c r="AE37" s="1049"/>
      <c r="AF37" s="1049"/>
      <c r="AG37" s="1049"/>
      <c r="AH37" s="1049"/>
      <c r="AI37" s="1054"/>
      <c r="AJ37" s="1054"/>
      <c r="AK37" s="1054"/>
      <c r="AL37" s="1058"/>
      <c r="AM37" s="1059"/>
      <c r="AN37" s="1059"/>
      <c r="AO37" s="1059"/>
      <c r="AP37" s="1059"/>
      <c r="AQ37" s="1059"/>
      <c r="AR37" s="1059"/>
      <c r="AS37" s="1059"/>
      <c r="AT37" s="1059"/>
      <c r="AU37" s="1060"/>
      <c r="AV37" s="1058"/>
      <c r="AW37" s="1059"/>
      <c r="AX37" s="1059"/>
      <c r="AY37" s="1059"/>
      <c r="AZ37" s="1059"/>
      <c r="BA37" s="1059"/>
      <c r="BB37" s="1059"/>
      <c r="BC37" s="1059"/>
      <c r="BD37" s="1059"/>
      <c r="BE37" s="1060"/>
      <c r="BF37" s="230"/>
      <c r="BG37" s="93"/>
    </row>
    <row r="38" spans="1:59" ht="43.5" customHeight="1">
      <c r="C38" t="str">
        <f t="shared" si="0"/>
        <v/>
      </c>
      <c r="D38" t="str">
        <f t="shared" si="1"/>
        <v/>
      </c>
      <c r="E38" s="1048"/>
      <c r="F38" s="1048"/>
      <c r="G38" s="1048"/>
      <c r="H38" s="1048"/>
      <c r="I38" s="1049" t="s">
        <v>2373</v>
      </c>
      <c r="J38" s="1049"/>
      <c r="K38" s="1049"/>
      <c r="L38" s="1049"/>
      <c r="M38" s="1049"/>
      <c r="N38" s="1049"/>
      <c r="O38" s="1049"/>
      <c r="P38" s="1049"/>
      <c r="Q38" s="1049"/>
      <c r="R38" s="1049"/>
      <c r="S38" s="1049"/>
      <c r="T38" s="1049"/>
      <c r="U38" s="1049"/>
      <c r="V38" s="1049"/>
      <c r="W38" s="1049"/>
      <c r="X38" s="1049"/>
      <c r="Y38" s="1049"/>
      <c r="Z38" s="1049"/>
      <c r="AA38" s="1049"/>
      <c r="AB38" s="1049"/>
      <c r="AC38" s="1049"/>
      <c r="AD38" s="1049"/>
      <c r="AE38" s="1049"/>
      <c r="AF38" s="1049"/>
      <c r="AG38" s="1049"/>
      <c r="AH38" s="1049"/>
      <c r="AI38" s="1054"/>
      <c r="AJ38" s="1054"/>
      <c r="AK38" s="1054"/>
      <c r="AL38" s="1058"/>
      <c r="AM38" s="1059"/>
      <c r="AN38" s="1059"/>
      <c r="AO38" s="1059"/>
      <c r="AP38" s="1059"/>
      <c r="AQ38" s="1059"/>
      <c r="AR38" s="1059"/>
      <c r="AS38" s="1059"/>
      <c r="AT38" s="1059"/>
      <c r="AU38" s="1060"/>
      <c r="AV38" s="1058"/>
      <c r="AW38" s="1059"/>
      <c r="AX38" s="1059"/>
      <c r="AY38" s="1059"/>
      <c r="AZ38" s="1059"/>
      <c r="BA38" s="1059"/>
      <c r="BB38" s="1059"/>
      <c r="BC38" s="1059"/>
      <c r="BD38" s="1059"/>
      <c r="BE38" s="1060"/>
      <c r="BF38" s="230"/>
      <c r="BG38" s="93"/>
    </row>
    <row r="39" spans="1:59" ht="43.5" customHeight="1">
      <c r="A39">
        <v>0.13</v>
      </c>
      <c r="B39">
        <v>0.28000000000000003</v>
      </c>
      <c r="C39">
        <f t="shared" si="0"/>
        <v>2059518.8157142857</v>
      </c>
      <c r="D39">
        <f t="shared" si="1"/>
        <v>2102846.6800000002</v>
      </c>
      <c r="E39" s="1048" t="s">
        <v>2374</v>
      </c>
      <c r="F39" s="1048"/>
      <c r="G39" s="1048"/>
      <c r="H39" s="1048"/>
      <c r="I39" s="1049" t="s">
        <v>2375</v>
      </c>
      <c r="J39" s="1049"/>
      <c r="K39" s="1049"/>
      <c r="L39" s="1049"/>
      <c r="M39" s="1049"/>
      <c r="N39" s="1049"/>
      <c r="O39" s="1049"/>
      <c r="P39" s="1049"/>
      <c r="Q39" s="1049"/>
      <c r="R39" s="1049"/>
      <c r="S39" s="1049"/>
      <c r="T39" s="1049"/>
      <c r="U39" s="1049"/>
      <c r="V39" s="1049"/>
      <c r="W39" s="1049"/>
      <c r="X39" s="1049"/>
      <c r="Y39" s="1049"/>
      <c r="Z39" s="1049"/>
      <c r="AA39" s="1049"/>
      <c r="AB39" s="1049"/>
      <c r="AC39" s="1049"/>
      <c r="AD39" s="1049"/>
      <c r="AE39" s="1049"/>
      <c r="AF39" s="1049"/>
      <c r="AG39" s="1049"/>
      <c r="AH39" s="1049"/>
      <c r="AI39" s="1054">
        <v>312</v>
      </c>
      <c r="AJ39" s="1054"/>
      <c r="AK39" s="1054"/>
      <c r="AL39" s="1055">
        <v>2021967</v>
      </c>
      <c r="AM39" s="1056"/>
      <c r="AN39" s="1056"/>
      <c r="AO39" s="1056"/>
      <c r="AP39" s="1056"/>
      <c r="AQ39" s="1056"/>
      <c r="AR39" s="1056"/>
      <c r="AS39" s="1056"/>
      <c r="AT39" s="1056"/>
      <c r="AU39" s="1057"/>
      <c r="AV39" s="1055">
        <v>2021967</v>
      </c>
      <c r="AW39" s="1056"/>
      <c r="AX39" s="1056"/>
      <c r="AY39" s="1056"/>
      <c r="AZ39" s="1056"/>
      <c r="BA39" s="1056"/>
      <c r="BB39" s="1056"/>
      <c r="BC39" s="1056"/>
      <c r="BD39" s="1056"/>
      <c r="BE39" s="1057"/>
      <c r="BF39" s="230"/>
      <c r="BG39" s="93"/>
    </row>
    <row r="40" spans="1:59" ht="43.5" customHeight="1">
      <c r="A40">
        <v>0.14000000000000001</v>
      </c>
      <c r="B40">
        <v>0.28999999999999998</v>
      </c>
      <c r="C40" t="str">
        <f t="shared" si="0"/>
        <v/>
      </c>
      <c r="D40" t="str">
        <f t="shared" si="1"/>
        <v/>
      </c>
      <c r="E40" s="1048" t="s">
        <v>2376</v>
      </c>
      <c r="F40" s="1048"/>
      <c r="G40" s="1048"/>
      <c r="H40" s="1048"/>
      <c r="I40" s="1049" t="s">
        <v>2377</v>
      </c>
      <c r="J40" s="1049"/>
      <c r="K40" s="1049"/>
      <c r="L40" s="1049"/>
      <c r="M40" s="1049"/>
      <c r="N40" s="1049"/>
      <c r="O40" s="1049"/>
      <c r="P40" s="1049"/>
      <c r="Q40" s="1049"/>
      <c r="R40" s="1049"/>
      <c r="S40" s="1049"/>
      <c r="T40" s="1049"/>
      <c r="U40" s="1049"/>
      <c r="V40" s="1049"/>
      <c r="W40" s="1049"/>
      <c r="X40" s="1049"/>
      <c r="Y40" s="1049"/>
      <c r="Z40" s="1049"/>
      <c r="AA40" s="1049"/>
      <c r="AB40" s="1049"/>
      <c r="AC40" s="1049"/>
      <c r="AD40" s="1049"/>
      <c r="AE40" s="1049"/>
      <c r="AF40" s="1049"/>
      <c r="AG40" s="1049"/>
      <c r="AH40" s="1049"/>
      <c r="AI40" s="1054">
        <v>313</v>
      </c>
      <c r="AJ40" s="1054"/>
      <c r="AK40" s="1054"/>
      <c r="AL40" s="1055"/>
      <c r="AM40" s="1056"/>
      <c r="AN40" s="1056"/>
      <c r="AO40" s="1056"/>
      <c r="AP40" s="1056"/>
      <c r="AQ40" s="1056"/>
      <c r="AR40" s="1056"/>
      <c r="AS40" s="1056"/>
      <c r="AT40" s="1056"/>
      <c r="AU40" s="1057"/>
      <c r="AV40" s="1055"/>
      <c r="AW40" s="1056"/>
      <c r="AX40" s="1056"/>
      <c r="AY40" s="1056"/>
      <c r="AZ40" s="1056"/>
      <c r="BA40" s="1056"/>
      <c r="BB40" s="1056"/>
      <c r="BC40" s="1056"/>
      <c r="BD40" s="1056"/>
      <c r="BE40" s="1057"/>
      <c r="BF40" s="230"/>
      <c r="BG40" s="93"/>
    </row>
    <row r="41" spans="1:59" ht="43.5" customHeight="1">
      <c r="A41">
        <v>0.15</v>
      </c>
      <c r="B41">
        <v>0.3</v>
      </c>
      <c r="C41" t="str">
        <f t="shared" si="0"/>
        <v/>
      </c>
      <c r="D41" t="str">
        <f t="shared" si="1"/>
        <v/>
      </c>
      <c r="E41" s="1066" t="s">
        <v>2378</v>
      </c>
      <c r="F41" s="1066"/>
      <c r="G41" s="1066"/>
      <c r="H41" s="1066"/>
      <c r="I41" s="1067" t="s">
        <v>2379</v>
      </c>
      <c r="J41" s="1067"/>
      <c r="K41" s="1067"/>
      <c r="L41" s="1067"/>
      <c r="M41" s="1067"/>
      <c r="N41" s="1067"/>
      <c r="O41" s="1067"/>
      <c r="P41" s="1067"/>
      <c r="Q41" s="1067"/>
      <c r="R41" s="1067"/>
      <c r="S41" s="1067"/>
      <c r="T41" s="1067"/>
      <c r="U41" s="1067"/>
      <c r="V41" s="1067"/>
      <c r="W41" s="1067"/>
      <c r="X41" s="1067"/>
      <c r="Y41" s="1067"/>
      <c r="Z41" s="1067"/>
      <c r="AA41" s="1067"/>
      <c r="AB41" s="1067"/>
      <c r="AC41" s="1067"/>
      <c r="AD41" s="1067"/>
      <c r="AE41" s="1067"/>
      <c r="AF41" s="1067"/>
      <c r="AG41" s="1067"/>
      <c r="AH41" s="1067"/>
      <c r="AI41" s="1054">
        <v>314</v>
      </c>
      <c r="AJ41" s="1054"/>
      <c r="AK41" s="1054"/>
      <c r="AL41" s="1055"/>
      <c r="AM41" s="1056"/>
      <c r="AN41" s="1056"/>
      <c r="AO41" s="1056"/>
      <c r="AP41" s="1056"/>
      <c r="AQ41" s="1056"/>
      <c r="AR41" s="1056"/>
      <c r="AS41" s="1056"/>
      <c r="AT41" s="1056"/>
      <c r="AU41" s="1057"/>
      <c r="AV41" s="1055"/>
      <c r="AW41" s="1056"/>
      <c r="AX41" s="1056"/>
      <c r="AY41" s="1056"/>
      <c r="AZ41" s="1056"/>
      <c r="BA41" s="1056"/>
      <c r="BB41" s="1056"/>
      <c r="BC41" s="1056"/>
      <c r="BD41" s="1056"/>
      <c r="BE41" s="1057"/>
      <c r="BF41" s="230"/>
      <c r="BG41" s="93"/>
    </row>
    <row r="42" spans="1:59" ht="43.5" customHeight="1">
      <c r="A42">
        <v>0.16</v>
      </c>
      <c r="B42">
        <v>0.31</v>
      </c>
      <c r="C42">
        <f t="shared" si="0"/>
        <v>2068184.3885714286</v>
      </c>
      <c r="D42">
        <f t="shared" si="1"/>
        <v>2111512.2528571431</v>
      </c>
      <c r="E42" s="1048" t="s">
        <v>2380</v>
      </c>
      <c r="F42" s="1048"/>
      <c r="G42" s="1048"/>
      <c r="H42" s="1065"/>
      <c r="I42" s="1049" t="s">
        <v>2381</v>
      </c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49"/>
      <c r="AD42" s="1049"/>
      <c r="AE42" s="1049"/>
      <c r="AF42" s="1049"/>
      <c r="AG42" s="1049"/>
      <c r="AH42" s="1049"/>
      <c r="AI42" s="1054">
        <v>315</v>
      </c>
      <c r="AJ42" s="1054"/>
      <c r="AK42" s="1054"/>
      <c r="AL42" s="1055">
        <v>2021967</v>
      </c>
      <c r="AM42" s="1056"/>
      <c r="AN42" s="1056"/>
      <c r="AO42" s="1056"/>
      <c r="AP42" s="1056"/>
      <c r="AQ42" s="1056"/>
      <c r="AR42" s="1056"/>
      <c r="AS42" s="1056"/>
      <c r="AT42" s="1056"/>
      <c r="AU42" s="1057"/>
      <c r="AV42" s="1055">
        <v>2021967</v>
      </c>
      <c r="AW42" s="1056"/>
      <c r="AX42" s="1056"/>
      <c r="AY42" s="1056"/>
      <c r="AZ42" s="1056"/>
      <c r="BA42" s="1056"/>
      <c r="BB42" s="1056"/>
      <c r="BC42" s="1056"/>
      <c r="BD42" s="1056"/>
      <c r="BE42" s="1057"/>
      <c r="BF42" s="230"/>
      <c r="BG42" s="93"/>
    </row>
    <row r="43" spans="1:59" ht="43.5" customHeight="1"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230"/>
      <c r="BG43" s="93"/>
    </row>
    <row r="44" spans="1:59">
      <c r="C44">
        <f>IF(ISERROR(ABS(LOG(ABS(SUM(C22:C42)),EXP(3)))),"",ABS(LOG(ABS(SUM(C22:C42)),EXP(3))))</f>
        <v>6.1177454594603544</v>
      </c>
      <c r="D44">
        <f>IF(ISERROR(ABS(LOG(ABS(SUM(D22:D42)),EXP(3)))),"",ABS(LOG(ABS(SUM(D22:D42)),EXP(3))))</f>
        <v>6.0740665633498203</v>
      </c>
      <c r="E44" s="159"/>
      <c r="F44" s="159"/>
      <c r="G44" s="159"/>
      <c r="H44" s="247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28"/>
      <c r="AJ44" s="228"/>
      <c r="AK44" s="228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30"/>
      <c r="BG44" s="93"/>
    </row>
    <row r="45" spans="1:59">
      <c r="C45" t="str">
        <f>IF(ISERROR(IF(ISERROR(MID(C44,FIND(".",C44,1)+8,13)),MID(C44,FIND(",",C44,1)+8,13),MID(C44,FIND(".",C44,1)+8,13))),"",IF(ISERROR(MID(C44,FIND(".",C44,1)+8,13)),MID(C44,FIND(",",C44,1)+8,13),MID(C44,FIND(".",C44,1)+8,13)))</f>
        <v>5946035</v>
      </c>
      <c r="D45" t="str">
        <f>IF(ISERROR(IF(ISERROR(MID(D44,FIND(".",D44,1)+8,13)),MID(D44,FIND(",",D44,1)+8,13),MID(D44,FIND(".",D44,1)+8,13))),"",IF(ISERROR(MID(D44,FIND(".",D44,1)+8,13)),MID(D44,FIND(",",D44,1)+8,13),MID(D44,FIND(".",D44,1)+8,13)))</f>
        <v>6334982</v>
      </c>
      <c r="E45" s="246" t="str">
        <f>IF(OR(OsnPodaci!A10="",TEXT(OsnPodaci!D58,"dd.mm.yyyy.")=""),"",OsnPodaci!A10 &amp; ", " &amp;TEXT(OsnPodaci!D58,"dd.mm.yyyy."))</f>
        <v>Sarajevo-Novi Grad, 28.02.2023.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30"/>
      <c r="P45" s="230"/>
      <c r="Q45" s="230"/>
      <c r="R45" s="230"/>
      <c r="S45" s="230"/>
      <c r="T45" s="230"/>
      <c r="U45" s="230"/>
      <c r="V45" s="585"/>
      <c r="W45" s="585"/>
      <c r="X45" s="230"/>
      <c r="Y45" s="230"/>
      <c r="Z45" s="230"/>
      <c r="AA45" s="230"/>
      <c r="AB45" s="230"/>
      <c r="AC45" s="230"/>
      <c r="AD45" s="230"/>
      <c r="AE45" s="585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586"/>
      <c r="AQ45" s="586"/>
      <c r="AR45" s="586"/>
      <c r="AS45" s="586"/>
      <c r="AT45" s="586"/>
      <c r="AU45" s="586"/>
      <c r="AV45" s="586"/>
      <c r="AW45" s="586"/>
      <c r="AX45" s="586"/>
      <c r="AY45" s="586"/>
      <c r="AZ45" s="586"/>
      <c r="BA45" s="586"/>
      <c r="BB45" s="586"/>
      <c r="BC45" s="230"/>
      <c r="BD45" s="230"/>
      <c r="BE45" s="571" t="str">
        <f>CONCATENATE(OsnPodaci!$A$31," ",OsnPodaci!$B$31)</f>
        <v>Dženan Prevljak</v>
      </c>
      <c r="BF45" s="230"/>
      <c r="BG45" s="93"/>
    </row>
    <row r="46" spans="1:59">
      <c r="E46" s="587" t="s">
        <v>2205</v>
      </c>
      <c r="F46" s="588"/>
      <c r="G46" s="588"/>
      <c r="H46" s="588"/>
      <c r="I46" s="588"/>
      <c r="J46" s="588"/>
      <c r="K46" s="588"/>
      <c r="L46" s="588"/>
      <c r="M46" s="588"/>
      <c r="N46" s="588"/>
      <c r="O46" s="230"/>
      <c r="P46" s="230"/>
      <c r="Q46" s="230"/>
      <c r="R46" s="230"/>
      <c r="S46" s="230"/>
      <c r="T46" s="230"/>
      <c r="U46" s="230"/>
      <c r="V46" s="265"/>
      <c r="W46" s="265"/>
      <c r="X46" s="230"/>
      <c r="Y46" s="230"/>
      <c r="Z46" s="230"/>
      <c r="AA46" s="230"/>
      <c r="AB46" s="230"/>
      <c r="AC46" s="230"/>
      <c r="AD46" s="230"/>
      <c r="AE46" s="265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586"/>
      <c r="AQ46" s="586"/>
      <c r="AR46" s="586"/>
      <c r="AS46" s="586"/>
      <c r="AT46" s="586"/>
      <c r="AU46" s="586"/>
      <c r="AV46" s="586"/>
      <c r="AW46" s="586"/>
      <c r="AX46" s="586"/>
      <c r="AY46" s="586"/>
      <c r="AZ46" s="586"/>
      <c r="BA46" s="586"/>
      <c r="BB46" s="586"/>
      <c r="BC46" s="230"/>
      <c r="BD46" s="230"/>
      <c r="BE46" s="589" t="s">
        <v>1950</v>
      </c>
      <c r="BF46" s="230"/>
      <c r="BG46" s="93"/>
    </row>
    <row r="47" spans="1:59" s="25" customFormat="1">
      <c r="E47" s="230"/>
      <c r="F47" s="230"/>
      <c r="G47" s="230"/>
      <c r="H47" s="230"/>
      <c r="I47" s="252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585"/>
      <c r="Y47" s="230"/>
      <c r="Z47" s="230"/>
      <c r="AA47" s="230"/>
      <c r="AB47" s="230"/>
      <c r="AC47" s="230"/>
      <c r="AD47" s="585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93"/>
    </row>
    <row r="48" spans="1:59" s="25" customFormat="1">
      <c r="E48" s="230"/>
      <c r="F48" s="230"/>
      <c r="G48" s="230"/>
      <c r="H48" s="230"/>
      <c r="I48" s="252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585"/>
      <c r="Y48" s="585"/>
      <c r="Z48" s="14"/>
      <c r="AA48" s="230"/>
      <c r="AB48" s="585"/>
      <c r="AC48" s="230"/>
      <c r="AD48" s="265"/>
      <c r="AE48" s="585"/>
      <c r="AF48" s="230"/>
      <c r="AG48" s="230"/>
      <c r="AH48" s="585" t="str">
        <f>IF(OsnPodaci!A67="","",LEFT(OsnPodaci!A67,FIND(";",OsnPodaci!A67,1)-1))</f>
        <v>HADŽIALIĆ (AHMET) AZIRA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585"/>
      <c r="AU48" s="585"/>
      <c r="AV48" s="585"/>
      <c r="AW48" s="585"/>
      <c r="AX48" s="585"/>
      <c r="AY48" s="585"/>
      <c r="AZ48" s="585"/>
      <c r="BA48" s="585"/>
      <c r="BB48" s="585"/>
      <c r="BC48" s="230"/>
      <c r="BD48" s="585"/>
      <c r="BE48" s="14"/>
      <c r="BF48" s="230"/>
      <c r="BG48" s="93"/>
    </row>
    <row r="49" spans="5:60" s="88" customFormat="1" ht="27">
      <c r="E49" s="230"/>
      <c r="F49" s="230"/>
      <c r="G49" s="230"/>
      <c r="H49" s="230"/>
      <c r="I49" s="252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585"/>
      <c r="W49" s="585"/>
      <c r="X49" s="590"/>
      <c r="Y49" s="590"/>
      <c r="Z49" s="14"/>
      <c r="AA49" s="590"/>
      <c r="AB49" s="591"/>
      <c r="AC49" s="230"/>
      <c r="AD49" s="591"/>
      <c r="AE49" s="265"/>
      <c r="AF49" s="230"/>
      <c r="AG49" s="230"/>
      <c r="AH49" s="592" t="s">
        <v>2382</v>
      </c>
      <c r="AI49" s="14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578"/>
      <c r="AV49" s="578"/>
      <c r="AW49" s="578"/>
      <c r="AX49" s="578"/>
      <c r="AY49" s="578"/>
      <c r="AZ49" s="578"/>
      <c r="BA49" s="578"/>
      <c r="BB49" s="578"/>
      <c r="BC49" s="230"/>
      <c r="BD49" s="265"/>
      <c r="BE49" s="14"/>
      <c r="BF49" s="233"/>
      <c r="BG49" s="93"/>
    </row>
    <row r="50" spans="5:60" s="25" customFormat="1">
      <c r="E50" s="230"/>
      <c r="F50" s="230"/>
      <c r="G50" s="230"/>
      <c r="H50" s="230"/>
      <c r="I50" s="252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65"/>
      <c r="W50" s="265"/>
      <c r="X50" s="230"/>
      <c r="Y50" s="257"/>
      <c r="Z50" s="257"/>
      <c r="AA50" s="257"/>
      <c r="AB50" s="257"/>
      <c r="AC50" s="257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93"/>
      <c r="BH50" s="94"/>
    </row>
    <row r="51" spans="5:60"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230"/>
      <c r="P51" s="230"/>
      <c r="Q51" s="230"/>
      <c r="R51" s="230"/>
      <c r="S51" s="230"/>
      <c r="T51" s="230"/>
      <c r="U51" s="230"/>
      <c r="V51" s="230"/>
      <c r="W51" s="230"/>
      <c r="X51" s="585"/>
      <c r="Y51" s="257"/>
      <c r="Z51" s="257"/>
      <c r="AA51" s="257"/>
      <c r="AB51" s="257"/>
      <c r="AC51" s="257"/>
      <c r="AD51" s="585"/>
      <c r="AE51" s="585"/>
      <c r="AF51" s="230"/>
      <c r="AG51" s="230"/>
      <c r="AH51" s="228" t="str">
        <f>IF(OsnPodaci!A67="","",MID(OsnPodaci!A67,FIND("licenca br.",OsnPodaci!A67,1)+11,15))</f>
        <v xml:space="preserve"> 4263/5</v>
      </c>
      <c r="AI51" s="230"/>
      <c r="AJ51" s="230"/>
      <c r="AK51" s="230"/>
      <c r="AM51" s="230"/>
      <c r="AN51" s="230"/>
      <c r="AO51" s="246" t="s">
        <v>2209</v>
      </c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93"/>
      <c r="BH51" s="94"/>
    </row>
    <row r="52" spans="5:60" ht="27">
      <c r="E52" s="593"/>
      <c r="F52" s="242"/>
      <c r="G52" s="242"/>
      <c r="H52" s="242"/>
      <c r="I52" s="242"/>
      <c r="J52" s="242"/>
      <c r="K52" s="242"/>
      <c r="L52" s="242"/>
      <c r="M52" s="242"/>
      <c r="N52" s="242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57"/>
      <c r="Z52" s="257"/>
      <c r="AA52" s="257"/>
      <c r="AB52" s="257"/>
      <c r="AC52" s="257"/>
      <c r="AD52" s="265"/>
      <c r="AE52" s="265"/>
      <c r="AF52" s="230"/>
      <c r="AG52" s="230"/>
      <c r="AH52" s="592" t="s">
        <v>2208</v>
      </c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3"/>
      <c r="BG52" s="93"/>
      <c r="BH52" s="94"/>
    </row>
    <row r="53" spans="5:60" s="95" customFormat="1" hidden="1"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51"/>
      <c r="BG53" s="93"/>
      <c r="BH53" s="94"/>
    </row>
    <row r="54" spans="5:60" ht="14.25" hidden="1" customHeight="1">
      <c r="E54" s="230"/>
      <c r="F54" s="230"/>
      <c r="G54" s="230"/>
      <c r="H54" s="230"/>
      <c r="I54" s="252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93"/>
      <c r="BH54" s="94"/>
    </row>
    <row r="55" spans="5:60" ht="28.5" hidden="1" customHeight="1">
      <c r="E55" s="230"/>
      <c r="F55" s="230"/>
      <c r="G55" s="230"/>
      <c r="H55" s="230"/>
      <c r="I55" s="252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93"/>
      <c r="BH55" s="94"/>
    </row>
    <row r="56" spans="5:60" s="95" customFormat="1" hidden="1"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51"/>
      <c r="BG56" s="93"/>
      <c r="BH56" s="94"/>
    </row>
    <row r="57" spans="5:60" ht="21.75" customHeight="1">
      <c r="E57" s="230"/>
      <c r="F57" s="230"/>
      <c r="G57" s="230"/>
      <c r="H57" s="230"/>
      <c r="I57" s="252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93"/>
      <c r="BH57" s="94"/>
    </row>
    <row r="58" spans="5:60" ht="41.25" customHeight="1">
      <c r="E58" s="226"/>
      <c r="F58" s="253"/>
      <c r="G58" s="230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30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5"/>
      <c r="AJ58" s="255"/>
      <c r="AK58" s="255"/>
      <c r="AL58" s="255"/>
      <c r="AM58" s="255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30"/>
      <c r="BG58" s="93"/>
      <c r="BH58" s="94"/>
    </row>
    <row r="60" spans="5:60">
      <c r="E60" s="230"/>
      <c r="F60" s="230"/>
      <c r="G60" s="230"/>
      <c r="H60" s="230"/>
      <c r="I60" s="252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</row>
    <row r="61" spans="5:60">
      <c r="E61" s="230"/>
      <c r="F61" s="230"/>
      <c r="G61" s="230"/>
      <c r="H61" s="230"/>
      <c r="I61" s="252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</row>
    <row r="62" spans="5:60" ht="26.25" customHeight="1">
      <c r="E62" s="594" t="str">
        <f>IF(C45&amp;D45="","Obrazac prazan - unesite podatke na barem jednu poziciju.","Kontrolni broj: "&amp;MID(BG1,2,LEN(BG1)-2))</f>
        <v>Kontrolni broj: 2159460356334982</v>
      </c>
      <c r="F62" s="253"/>
      <c r="G62" s="230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30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25"/>
      <c r="AJ62" s="225"/>
      <c r="AK62" s="228"/>
      <c r="AL62" s="228"/>
      <c r="AM62" s="228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595" t="s">
        <v>2383</v>
      </c>
      <c r="BF62" s="230"/>
      <c r="BG62" s="93"/>
      <c r="BH62" s="94"/>
    </row>
    <row r="63" spans="5:60">
      <c r="E63" s="230"/>
      <c r="F63" s="230"/>
      <c r="G63" s="230"/>
      <c r="H63" s="230"/>
      <c r="I63" s="252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</row>
    <row r="64" spans="5:60">
      <c r="E64" s="230"/>
      <c r="F64" s="230"/>
      <c r="G64" s="230"/>
      <c r="H64" s="230"/>
      <c r="I64" s="252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</row>
    <row r="65" spans="5:58">
      <c r="E65" s="230"/>
      <c r="F65" s="230"/>
      <c r="G65" s="230"/>
      <c r="H65" s="230"/>
      <c r="I65" s="252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</row>
    <row r="66" spans="5:58">
      <c r="E66" s="230"/>
      <c r="F66" s="230"/>
      <c r="G66" s="230"/>
      <c r="H66" s="230"/>
      <c r="I66" s="252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</row>
    <row r="67" spans="5:58">
      <c r="E67" s="230"/>
      <c r="F67" s="230"/>
      <c r="G67" s="230"/>
      <c r="H67" s="230"/>
      <c r="I67" s="252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</row>
    <row r="68" spans="5:58">
      <c r="E68" s="230"/>
      <c r="F68" s="230"/>
      <c r="G68" s="230"/>
      <c r="H68" s="230"/>
      <c r="I68" s="252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</row>
    <row r="69" spans="5:58">
      <c r="E69" s="230"/>
      <c r="F69" s="230"/>
      <c r="G69" s="230"/>
      <c r="H69" s="230"/>
      <c r="I69" s="252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</row>
    <row r="70" spans="5:58">
      <c r="E70" s="230"/>
      <c r="F70" s="230"/>
      <c r="G70" s="230"/>
      <c r="H70" s="230"/>
      <c r="I70" s="252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</row>
    <row r="71" spans="5:58">
      <c r="E71" s="230"/>
      <c r="F71" s="230"/>
      <c r="G71" s="230"/>
      <c r="H71" s="230"/>
      <c r="I71" s="252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</row>
    <row r="72" spans="5:58">
      <c r="E72" s="230"/>
      <c r="F72" s="230"/>
      <c r="G72" s="230"/>
      <c r="H72" s="230"/>
      <c r="I72" s="252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</row>
    <row r="73" spans="5:58">
      <c r="E73" s="230"/>
      <c r="F73" s="230"/>
      <c r="G73" s="230"/>
      <c r="H73" s="230"/>
      <c r="I73" s="252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</row>
    <row r="74" spans="5:58">
      <c r="E74" s="230"/>
      <c r="F74" s="230"/>
      <c r="G74" s="230"/>
      <c r="H74" s="230"/>
      <c r="I74" s="252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</row>
    <row r="75" spans="5:58">
      <c r="E75" s="230"/>
      <c r="F75" s="230"/>
      <c r="G75" s="230"/>
      <c r="H75" s="230"/>
      <c r="I75" s="252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</row>
    <row r="76" spans="5:58">
      <c r="E76" s="230"/>
      <c r="F76" s="230"/>
      <c r="G76" s="230"/>
      <c r="H76" s="230"/>
      <c r="I76" s="252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</row>
    <row r="77" spans="5:58">
      <c r="E77" s="230"/>
      <c r="F77" s="230"/>
      <c r="G77" s="230"/>
      <c r="H77" s="230"/>
      <c r="I77" s="252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</row>
    <row r="78" spans="5:58">
      <c r="E78" s="230"/>
      <c r="F78" s="230"/>
      <c r="G78" s="230"/>
      <c r="H78" s="230"/>
      <c r="I78" s="252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</row>
    <row r="79" spans="5:58">
      <c r="E79" s="230"/>
      <c r="F79" s="230"/>
      <c r="G79" s="230"/>
      <c r="H79" s="230"/>
      <c r="I79" s="252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</row>
    <row r="80" spans="5:58">
      <c r="E80" s="230"/>
      <c r="F80" s="230"/>
      <c r="G80" s="230"/>
      <c r="H80" s="230"/>
      <c r="I80" s="252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</row>
    <row r="81" spans="5:58">
      <c r="E81" s="230"/>
      <c r="F81" s="230"/>
      <c r="G81" s="230"/>
      <c r="H81" s="230"/>
      <c r="I81" s="252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</row>
    <row r="82" spans="5:58">
      <c r="E82" s="230"/>
      <c r="F82" s="230"/>
      <c r="G82" s="230"/>
      <c r="H82" s="230"/>
      <c r="I82" s="252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</row>
    <row r="83" spans="5:58">
      <c r="E83" s="230"/>
      <c r="F83" s="230"/>
      <c r="G83" s="230"/>
      <c r="H83" s="230"/>
      <c r="I83" s="252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</row>
    <row r="84" spans="5:58">
      <c r="E84" s="230"/>
      <c r="F84" s="230"/>
      <c r="G84" s="230"/>
      <c r="H84" s="230"/>
      <c r="I84" s="252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</row>
    <row r="85" spans="5:58">
      <c r="E85" s="230"/>
      <c r="F85" s="230"/>
      <c r="G85" s="230"/>
      <c r="H85" s="230"/>
      <c r="I85" s="252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</row>
    <row r="86" spans="5:58">
      <c r="E86" s="230"/>
      <c r="F86" s="230"/>
      <c r="G86" s="230"/>
      <c r="H86" s="230"/>
      <c r="I86" s="252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</row>
    <row r="87" spans="5:58">
      <c r="E87" s="230"/>
      <c r="F87" s="230"/>
      <c r="G87" s="230"/>
      <c r="H87" s="230"/>
      <c r="I87" s="252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</row>
    <row r="88" spans="5:58">
      <c r="E88" s="230"/>
      <c r="F88" s="230"/>
      <c r="G88" s="230"/>
      <c r="H88" s="230"/>
      <c r="I88" s="252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</row>
    <row r="89" spans="5:58">
      <c r="E89" s="230"/>
      <c r="F89" s="230"/>
      <c r="G89" s="230"/>
      <c r="H89" s="230"/>
      <c r="I89" s="252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</row>
    <row r="90" spans="5:58">
      <c r="E90" s="230"/>
      <c r="F90" s="230"/>
      <c r="G90" s="230"/>
      <c r="H90" s="230"/>
      <c r="I90" s="252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</row>
    <row r="91" spans="5:58">
      <c r="E91" s="230"/>
      <c r="F91" s="230"/>
      <c r="G91" s="230"/>
      <c r="H91" s="230"/>
      <c r="I91" s="252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</row>
    <row r="92" spans="5:58">
      <c r="E92" s="230"/>
      <c r="F92" s="230"/>
      <c r="G92" s="230"/>
      <c r="H92" s="230"/>
      <c r="I92" s="252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</row>
    <row r="93" spans="5:58">
      <c r="E93" s="230"/>
      <c r="F93" s="230"/>
      <c r="G93" s="230"/>
      <c r="H93" s="230"/>
      <c r="I93" s="252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</row>
    <row r="94" spans="5:58">
      <c r="E94" s="230"/>
      <c r="F94" s="230"/>
      <c r="G94" s="230"/>
      <c r="H94" s="230"/>
      <c r="I94" s="252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</row>
    <row r="95" spans="5:58">
      <c r="E95" s="230"/>
      <c r="F95" s="230"/>
      <c r="G95" s="230"/>
      <c r="H95" s="230"/>
      <c r="I95" s="252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</row>
    <row r="96" spans="5:58">
      <c r="E96" s="230"/>
      <c r="F96" s="230"/>
      <c r="G96" s="230"/>
      <c r="H96" s="230"/>
      <c r="I96" s="252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</row>
    <row r="97" spans="5:58">
      <c r="E97" s="230"/>
      <c r="F97" s="230"/>
      <c r="G97" s="230"/>
      <c r="H97" s="230"/>
      <c r="I97" s="252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</row>
    <row r="98" spans="5:58">
      <c r="E98" s="230"/>
      <c r="F98" s="230"/>
      <c r="G98" s="230"/>
      <c r="H98" s="230"/>
      <c r="I98" s="252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</row>
    <row r="99" spans="5:58">
      <c r="E99" s="230"/>
      <c r="F99" s="230"/>
      <c r="G99" s="230"/>
      <c r="H99" s="230"/>
      <c r="I99" s="252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</row>
    <row r="100" spans="5:58">
      <c r="E100" s="230"/>
      <c r="F100" s="230"/>
      <c r="G100" s="230"/>
      <c r="H100" s="230"/>
      <c r="I100" s="252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</row>
    <row r="101" spans="5:58">
      <c r="E101" s="230"/>
      <c r="F101" s="230"/>
      <c r="G101" s="230"/>
      <c r="H101" s="230"/>
      <c r="I101" s="252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</row>
    <row r="102" spans="5:58">
      <c r="E102" s="230"/>
      <c r="F102" s="230"/>
      <c r="G102" s="230"/>
      <c r="H102" s="230"/>
      <c r="I102" s="252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</row>
    <row r="103" spans="5:58">
      <c r="E103" s="230"/>
      <c r="F103" s="230"/>
      <c r="G103" s="230"/>
      <c r="H103" s="230"/>
      <c r="I103" s="252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</row>
    <row r="104" spans="5:58">
      <c r="E104" s="230"/>
      <c r="F104" s="230"/>
      <c r="G104" s="230"/>
      <c r="H104" s="230"/>
      <c r="I104" s="252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</row>
    <row r="105" spans="5:58">
      <c r="E105" s="230"/>
      <c r="F105" s="230"/>
      <c r="G105" s="230"/>
      <c r="H105" s="230"/>
      <c r="I105" s="252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</row>
    <row r="106" spans="5:58">
      <c r="E106" s="230"/>
      <c r="F106" s="230"/>
      <c r="G106" s="230"/>
      <c r="H106" s="230"/>
      <c r="I106" s="252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</row>
    <row r="107" spans="5:58">
      <c r="E107" s="230"/>
      <c r="F107" s="230"/>
      <c r="G107" s="230"/>
      <c r="H107" s="230"/>
      <c r="I107" s="252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</row>
    <row r="108" spans="5:58">
      <c r="E108" s="230"/>
      <c r="F108" s="230"/>
      <c r="G108" s="230"/>
      <c r="H108" s="230"/>
      <c r="I108" s="252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</row>
    <row r="109" spans="5:58">
      <c r="E109" s="230"/>
      <c r="F109" s="230"/>
      <c r="G109" s="230"/>
      <c r="H109" s="230"/>
      <c r="I109" s="252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</row>
    <row r="110" spans="5:58">
      <c r="E110" s="230"/>
      <c r="F110" s="230"/>
      <c r="G110" s="230"/>
      <c r="H110" s="230"/>
      <c r="I110" s="252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</row>
    <row r="111" spans="5:58">
      <c r="E111" s="230"/>
      <c r="F111" s="230"/>
      <c r="G111" s="230"/>
      <c r="H111" s="230"/>
      <c r="I111" s="252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</row>
    <row r="112" spans="5:58">
      <c r="E112" s="230"/>
      <c r="F112" s="230"/>
      <c r="G112" s="230"/>
      <c r="H112" s="230"/>
      <c r="I112" s="252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</row>
    <row r="113" spans="5:58">
      <c r="E113" s="230"/>
      <c r="F113" s="230"/>
      <c r="G113" s="230"/>
      <c r="H113" s="230"/>
      <c r="I113" s="252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</row>
    <row r="114" spans="5:58">
      <c r="E114" s="230"/>
      <c r="F114" s="230"/>
      <c r="G114" s="230"/>
      <c r="H114" s="230"/>
      <c r="I114" s="252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</row>
    <row r="115" spans="5:58">
      <c r="E115" s="230"/>
      <c r="F115" s="230"/>
      <c r="G115" s="230"/>
      <c r="H115" s="230"/>
      <c r="I115" s="252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</row>
    <row r="116" spans="5:58">
      <c r="E116" s="230"/>
      <c r="F116" s="230"/>
      <c r="G116" s="230"/>
      <c r="H116" s="230"/>
      <c r="I116" s="252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0"/>
      <c r="BE116" s="230"/>
      <c r="BF116" s="230"/>
    </row>
    <row r="117" spans="5:58">
      <c r="E117" s="230"/>
      <c r="F117" s="230"/>
      <c r="G117" s="230"/>
      <c r="H117" s="230"/>
      <c r="I117" s="252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</row>
    <row r="118" spans="5:58">
      <c r="E118" s="230"/>
      <c r="F118" s="230"/>
      <c r="G118" s="230"/>
      <c r="H118" s="230"/>
      <c r="I118" s="252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</row>
    <row r="119" spans="5:58">
      <c r="E119" s="230"/>
      <c r="F119" s="230"/>
      <c r="G119" s="230"/>
      <c r="H119" s="230"/>
      <c r="I119" s="252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</row>
    <row r="120" spans="5:58">
      <c r="E120" s="230"/>
      <c r="F120" s="230"/>
      <c r="G120" s="230"/>
      <c r="H120" s="230"/>
      <c r="I120" s="252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</row>
    <row r="121" spans="5:58">
      <c r="E121" s="230"/>
      <c r="F121" s="230"/>
      <c r="G121" s="230"/>
      <c r="H121" s="230"/>
      <c r="I121" s="252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</row>
    <row r="122" spans="5:58">
      <c r="E122" s="230"/>
      <c r="F122" s="230"/>
      <c r="G122" s="230"/>
      <c r="H122" s="230"/>
      <c r="I122" s="252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</row>
    <row r="123" spans="5:58">
      <c r="E123" s="230"/>
      <c r="F123" s="230"/>
      <c r="G123" s="230"/>
      <c r="H123" s="230"/>
      <c r="I123" s="252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</row>
    <row r="124" spans="5:58">
      <c r="E124" s="230"/>
      <c r="F124" s="230"/>
      <c r="G124" s="230"/>
      <c r="H124" s="230"/>
      <c r="I124" s="252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  <c r="BA124" s="230"/>
      <c r="BB124" s="230"/>
      <c r="BC124" s="230"/>
      <c r="BD124" s="230"/>
      <c r="BE124" s="230"/>
      <c r="BF124" s="230"/>
    </row>
    <row r="125" spans="5:58">
      <c r="E125" s="230"/>
      <c r="F125" s="230"/>
      <c r="G125" s="230"/>
      <c r="H125" s="230"/>
      <c r="I125" s="252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</row>
    <row r="126" spans="5:58">
      <c r="E126" s="230"/>
      <c r="F126" s="230"/>
      <c r="G126" s="230"/>
      <c r="H126" s="230"/>
      <c r="I126" s="252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</row>
    <row r="127" spans="5:58">
      <c r="E127" s="230"/>
      <c r="F127" s="230"/>
      <c r="G127" s="230"/>
      <c r="H127" s="230"/>
      <c r="I127" s="252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</row>
    <row r="128" spans="5:58">
      <c r="E128" s="230"/>
      <c r="F128" s="230"/>
      <c r="G128" s="230"/>
      <c r="H128" s="230"/>
      <c r="I128" s="252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</row>
    <row r="129" spans="5:58">
      <c r="E129" s="230"/>
      <c r="F129" s="230"/>
      <c r="G129" s="230"/>
      <c r="H129" s="230"/>
      <c r="I129" s="252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</row>
    <row r="130" spans="5:58">
      <c r="E130" s="230"/>
      <c r="F130" s="230"/>
      <c r="G130" s="230"/>
      <c r="H130" s="230"/>
      <c r="I130" s="252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</row>
    <row r="131" spans="5:58">
      <c r="E131" s="230"/>
      <c r="F131" s="230"/>
      <c r="G131" s="230"/>
      <c r="H131" s="230"/>
      <c r="I131" s="252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</row>
    <row r="132" spans="5:58">
      <c r="E132" s="230"/>
      <c r="F132" s="230"/>
      <c r="G132" s="230"/>
      <c r="H132" s="230"/>
      <c r="I132" s="252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</row>
    <row r="133" spans="5:58">
      <c r="E133" s="230"/>
      <c r="F133" s="230"/>
      <c r="G133" s="230"/>
      <c r="H133" s="230"/>
      <c r="I133" s="252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</row>
    <row r="134" spans="5:58">
      <c r="E134" s="230"/>
      <c r="F134" s="230"/>
      <c r="G134" s="230"/>
      <c r="H134" s="230"/>
      <c r="I134" s="252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</row>
    <row r="135" spans="5:58">
      <c r="E135" s="230"/>
      <c r="F135" s="230"/>
      <c r="G135" s="230"/>
      <c r="H135" s="230"/>
      <c r="I135" s="252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</row>
    <row r="136" spans="5:58">
      <c r="E136" s="230"/>
      <c r="F136" s="230"/>
      <c r="G136" s="230"/>
      <c r="H136" s="230"/>
      <c r="I136" s="252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</row>
    <row r="137" spans="5:58">
      <c r="E137" s="230"/>
      <c r="F137" s="230"/>
      <c r="G137" s="230"/>
      <c r="H137" s="230"/>
      <c r="I137" s="252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</row>
    <row r="138" spans="5:58">
      <c r="E138" s="230"/>
      <c r="F138" s="230"/>
      <c r="G138" s="230"/>
      <c r="H138" s="230"/>
      <c r="I138" s="252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</row>
    <row r="139" spans="5:58">
      <c r="E139" s="230"/>
      <c r="F139" s="230"/>
      <c r="G139" s="230"/>
      <c r="H139" s="230"/>
      <c r="I139" s="252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</row>
    <row r="140" spans="5:58">
      <c r="E140" s="230"/>
      <c r="F140" s="230"/>
      <c r="G140" s="230"/>
      <c r="H140" s="230"/>
      <c r="I140" s="252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</row>
    <row r="141" spans="5:58">
      <c r="E141" s="230"/>
      <c r="F141" s="230"/>
      <c r="G141" s="230"/>
      <c r="H141" s="230"/>
      <c r="I141" s="252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</row>
    <row r="142" spans="5:58">
      <c r="E142" s="230"/>
      <c r="F142" s="230"/>
      <c r="G142" s="230"/>
      <c r="H142" s="230"/>
      <c r="I142" s="252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</row>
    <row r="143" spans="5:58">
      <c r="E143" s="230"/>
      <c r="F143" s="230"/>
      <c r="G143" s="230"/>
      <c r="H143" s="230"/>
      <c r="I143" s="252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</row>
    <row r="144" spans="5:58">
      <c r="E144" s="230"/>
      <c r="F144" s="230"/>
      <c r="G144" s="230"/>
      <c r="H144" s="230"/>
      <c r="I144" s="252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</row>
    <row r="145" spans="5:58">
      <c r="E145" s="230"/>
      <c r="F145" s="230"/>
      <c r="G145" s="230"/>
      <c r="H145" s="230"/>
      <c r="I145" s="252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</row>
    <row r="146" spans="5:58">
      <c r="E146" s="230"/>
      <c r="F146" s="230"/>
      <c r="G146" s="230"/>
      <c r="H146" s="230"/>
      <c r="I146" s="252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</row>
    <row r="147" spans="5:58">
      <c r="E147" s="230"/>
      <c r="F147" s="230"/>
      <c r="G147" s="230"/>
      <c r="H147" s="230"/>
      <c r="I147" s="252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</row>
    <row r="148" spans="5:58">
      <c r="E148" s="230"/>
      <c r="F148" s="230"/>
      <c r="G148" s="230"/>
      <c r="H148" s="230"/>
      <c r="I148" s="252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</row>
    <row r="149" spans="5:58">
      <c r="E149" s="230"/>
      <c r="F149" s="230"/>
      <c r="G149" s="230"/>
      <c r="H149" s="230"/>
      <c r="I149" s="252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</row>
    <row r="150" spans="5:58">
      <c r="E150" s="230"/>
      <c r="F150" s="230"/>
      <c r="G150" s="230"/>
      <c r="H150" s="230"/>
      <c r="I150" s="252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</row>
    <row r="151" spans="5:58">
      <c r="E151" s="230"/>
      <c r="F151" s="230"/>
      <c r="G151" s="230"/>
      <c r="H151" s="230"/>
      <c r="I151" s="252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</row>
    <row r="152" spans="5:58">
      <c r="E152" s="230"/>
      <c r="F152" s="230"/>
      <c r="G152" s="230"/>
      <c r="H152" s="230"/>
      <c r="I152" s="252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</row>
    <row r="153" spans="5:58">
      <c r="E153" s="230"/>
      <c r="F153" s="230"/>
      <c r="G153" s="230"/>
      <c r="H153" s="230"/>
      <c r="I153" s="252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</row>
    <row r="154" spans="5:58">
      <c r="E154" s="230"/>
      <c r="F154" s="230"/>
      <c r="G154" s="230"/>
      <c r="H154" s="230"/>
      <c r="I154" s="252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</row>
    <row r="155" spans="5:58">
      <c r="E155" s="230"/>
      <c r="F155" s="230"/>
      <c r="G155" s="230"/>
      <c r="H155" s="230"/>
      <c r="I155" s="252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</row>
    <row r="156" spans="5:58">
      <c r="E156" s="230"/>
      <c r="F156" s="230"/>
      <c r="G156" s="230"/>
      <c r="H156" s="230"/>
      <c r="I156" s="252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</row>
    <row r="157" spans="5:58">
      <c r="E157" s="230"/>
      <c r="F157" s="230"/>
      <c r="G157" s="230"/>
      <c r="H157" s="230"/>
      <c r="I157" s="252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</row>
    <row r="158" spans="5:58">
      <c r="E158" s="230"/>
      <c r="F158" s="230"/>
      <c r="G158" s="230"/>
      <c r="H158" s="230"/>
      <c r="I158" s="252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</row>
    <row r="159" spans="5:58">
      <c r="E159" s="230"/>
      <c r="F159" s="230"/>
      <c r="G159" s="230"/>
      <c r="H159" s="230"/>
      <c r="I159" s="252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</row>
    <row r="160" spans="5:58">
      <c r="E160" s="230"/>
      <c r="F160" s="230"/>
      <c r="G160" s="230"/>
      <c r="H160" s="230"/>
      <c r="I160" s="252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0"/>
      <c r="AP160" s="230"/>
      <c r="AQ160" s="230"/>
      <c r="AR160" s="230"/>
      <c r="AS160" s="230"/>
      <c r="AT160" s="230"/>
      <c r="AU160" s="230"/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</row>
    <row r="161" spans="5:58">
      <c r="E161" s="230"/>
      <c r="F161" s="230"/>
      <c r="G161" s="230"/>
      <c r="H161" s="230"/>
      <c r="I161" s="252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</row>
    <row r="162" spans="5:58">
      <c r="E162" s="230"/>
      <c r="F162" s="230"/>
      <c r="G162" s="230"/>
      <c r="H162" s="230"/>
      <c r="I162" s="252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</row>
    <row r="163" spans="5:58">
      <c r="E163" s="230"/>
      <c r="F163" s="230"/>
      <c r="G163" s="230"/>
      <c r="H163" s="230"/>
      <c r="I163" s="252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30"/>
      <c r="AP163" s="230"/>
      <c r="AQ163" s="230"/>
      <c r="AR163" s="230"/>
      <c r="AS163" s="230"/>
      <c r="AT163" s="230"/>
      <c r="AU163" s="230"/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</row>
    <row r="164" spans="5:58">
      <c r="E164" s="230"/>
      <c r="F164" s="230"/>
      <c r="G164" s="230"/>
      <c r="H164" s="230"/>
      <c r="I164" s="252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</row>
    <row r="165" spans="5:58">
      <c r="E165" s="230"/>
      <c r="F165" s="230"/>
      <c r="G165" s="230"/>
      <c r="H165" s="230"/>
      <c r="I165" s="252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</row>
    <row r="166" spans="5:58">
      <c r="E166" s="230"/>
      <c r="F166" s="230"/>
      <c r="G166" s="230"/>
      <c r="H166" s="230"/>
      <c r="I166" s="252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0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</row>
    <row r="167" spans="5:58">
      <c r="E167" s="230"/>
      <c r="F167" s="230"/>
      <c r="G167" s="230"/>
      <c r="H167" s="230"/>
      <c r="I167" s="252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</row>
    <row r="168" spans="5:58">
      <c r="E168" s="230"/>
      <c r="F168" s="230"/>
      <c r="G168" s="230"/>
      <c r="H168" s="230"/>
      <c r="I168" s="252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</row>
    <row r="169" spans="5:58">
      <c r="E169" s="230"/>
      <c r="F169" s="230"/>
      <c r="G169" s="230"/>
      <c r="H169" s="230"/>
      <c r="I169" s="252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</row>
    <row r="170" spans="5:58">
      <c r="E170" s="230"/>
      <c r="F170" s="230"/>
      <c r="G170" s="230"/>
      <c r="H170" s="230"/>
      <c r="I170" s="252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</row>
    <row r="171" spans="5:58">
      <c r="E171" s="230"/>
      <c r="F171" s="230"/>
      <c r="G171" s="230"/>
      <c r="H171" s="230"/>
      <c r="I171" s="252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</row>
    <row r="172" spans="5:58">
      <c r="E172" s="230"/>
      <c r="F172" s="230"/>
      <c r="G172" s="230"/>
      <c r="H172" s="230"/>
      <c r="I172" s="252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</row>
    <row r="173" spans="5:58">
      <c r="E173" s="230"/>
      <c r="F173" s="230"/>
      <c r="G173" s="230"/>
      <c r="H173" s="230"/>
      <c r="I173" s="252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</row>
    <row r="174" spans="5:58">
      <c r="E174" s="230"/>
      <c r="F174" s="230"/>
      <c r="G174" s="230"/>
      <c r="H174" s="230"/>
      <c r="I174" s="252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</row>
    <row r="175" spans="5:58">
      <c r="E175" s="230"/>
      <c r="F175" s="230"/>
      <c r="G175" s="230"/>
      <c r="H175" s="230"/>
      <c r="I175" s="252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</row>
    <row r="176" spans="5:58">
      <c r="E176" s="230"/>
      <c r="F176" s="230"/>
      <c r="G176" s="230"/>
      <c r="H176" s="230"/>
      <c r="I176" s="252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</row>
    <row r="177" spans="5:58">
      <c r="E177" s="230"/>
      <c r="F177" s="230"/>
      <c r="G177" s="230"/>
      <c r="H177" s="230"/>
      <c r="I177" s="252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</row>
    <row r="178" spans="5:58">
      <c r="E178" s="230"/>
      <c r="F178" s="230"/>
      <c r="G178" s="230"/>
      <c r="H178" s="230"/>
      <c r="I178" s="252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</row>
    <row r="179" spans="5:58">
      <c r="E179" s="230"/>
      <c r="F179" s="230"/>
      <c r="G179" s="230"/>
      <c r="H179" s="230"/>
      <c r="I179" s="252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</row>
    <row r="180" spans="5:58">
      <c r="E180" s="230"/>
      <c r="F180" s="230"/>
      <c r="G180" s="230"/>
      <c r="H180" s="230"/>
      <c r="I180" s="252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</row>
    <row r="181" spans="5:58">
      <c r="E181" s="230"/>
      <c r="F181" s="230"/>
      <c r="G181" s="230"/>
      <c r="H181" s="230"/>
      <c r="I181" s="252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</row>
    <row r="182" spans="5:58">
      <c r="E182" s="230"/>
      <c r="F182" s="230"/>
      <c r="G182" s="230"/>
      <c r="H182" s="230"/>
      <c r="I182" s="252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</row>
    <row r="183" spans="5:58">
      <c r="E183" s="230"/>
      <c r="F183" s="230"/>
      <c r="G183" s="230"/>
      <c r="H183" s="230"/>
      <c r="I183" s="252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</row>
    <row r="184" spans="5:58">
      <c r="E184" s="230"/>
      <c r="F184" s="230"/>
      <c r="G184" s="230"/>
      <c r="H184" s="230"/>
      <c r="I184" s="252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</row>
    <row r="185" spans="5:58">
      <c r="E185" s="230"/>
      <c r="F185" s="230"/>
      <c r="G185" s="230"/>
      <c r="H185" s="230"/>
      <c r="I185" s="252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</row>
    <row r="186" spans="5:58">
      <c r="E186" s="230"/>
      <c r="F186" s="230"/>
      <c r="G186" s="230"/>
      <c r="H186" s="230"/>
      <c r="I186" s="252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</row>
    <row r="187" spans="5:58">
      <c r="E187" s="230"/>
      <c r="F187" s="230"/>
      <c r="G187" s="230"/>
      <c r="H187" s="230"/>
      <c r="I187" s="252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</row>
    <row r="188" spans="5:58">
      <c r="E188" s="230"/>
      <c r="F188" s="230"/>
      <c r="G188" s="230"/>
      <c r="H188" s="230"/>
      <c r="I188" s="252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</row>
    <row r="189" spans="5:58">
      <c r="E189" s="230"/>
      <c r="F189" s="230"/>
      <c r="G189" s="230"/>
      <c r="H189" s="230"/>
      <c r="I189" s="252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</row>
    <row r="190" spans="5:58">
      <c r="E190" s="230"/>
      <c r="F190" s="230"/>
      <c r="G190" s="230"/>
      <c r="H190" s="230"/>
      <c r="I190" s="252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</row>
    <row r="191" spans="5:58">
      <c r="E191" s="230"/>
      <c r="F191" s="230"/>
      <c r="G191" s="230"/>
      <c r="H191" s="230"/>
      <c r="I191" s="252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</row>
    <row r="192" spans="5:58">
      <c r="E192" s="230"/>
      <c r="F192" s="230"/>
      <c r="G192" s="230"/>
      <c r="H192" s="230"/>
      <c r="I192" s="252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</row>
    <row r="193" spans="5:58">
      <c r="E193" s="230"/>
      <c r="F193" s="230"/>
      <c r="G193" s="230"/>
      <c r="H193" s="230"/>
      <c r="I193" s="252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</row>
    <row r="194" spans="5:58">
      <c r="E194" s="230"/>
      <c r="F194" s="230"/>
      <c r="G194" s="230"/>
      <c r="H194" s="230"/>
      <c r="I194" s="252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</row>
    <row r="195" spans="5:58">
      <c r="E195" s="230"/>
      <c r="F195" s="230"/>
      <c r="G195" s="230"/>
      <c r="H195" s="230"/>
      <c r="I195" s="252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</row>
    <row r="196" spans="5:58">
      <c r="E196" s="230"/>
      <c r="F196" s="230"/>
      <c r="G196" s="230"/>
      <c r="H196" s="230"/>
      <c r="I196" s="252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</row>
    <row r="197" spans="5:58">
      <c r="E197" s="230"/>
      <c r="F197" s="230"/>
      <c r="G197" s="230"/>
      <c r="H197" s="230"/>
      <c r="I197" s="252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</row>
    <row r="198" spans="5:58">
      <c r="E198" s="230"/>
      <c r="F198" s="230"/>
      <c r="G198" s="230"/>
      <c r="H198" s="230"/>
      <c r="I198" s="252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</row>
    <row r="199" spans="5:58">
      <c r="E199" s="230"/>
      <c r="F199" s="230"/>
      <c r="G199" s="230"/>
      <c r="H199" s="230"/>
      <c r="I199" s="252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</row>
    <row r="200" spans="5:58">
      <c r="E200" s="230"/>
      <c r="F200" s="230"/>
      <c r="G200" s="230"/>
      <c r="H200" s="230"/>
      <c r="I200" s="252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</row>
    <row r="201" spans="5:58">
      <c r="E201" s="230"/>
      <c r="F201" s="230"/>
      <c r="G201" s="230"/>
      <c r="H201" s="230"/>
      <c r="I201" s="252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230"/>
      <c r="AZ201" s="230"/>
      <c r="BA201" s="230"/>
      <c r="BB201" s="230"/>
      <c r="BC201" s="230"/>
      <c r="BD201" s="230"/>
      <c r="BE201" s="230"/>
      <c r="BF201" s="230"/>
    </row>
    <row r="202" spans="5:58">
      <c r="E202" s="230"/>
      <c r="F202" s="230"/>
      <c r="G202" s="230"/>
      <c r="H202" s="230"/>
      <c r="I202" s="252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</row>
    <row r="203" spans="5:58">
      <c r="E203" s="230"/>
      <c r="F203" s="230"/>
      <c r="G203" s="230"/>
      <c r="H203" s="230"/>
      <c r="I203" s="252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</row>
    <row r="204" spans="5:58">
      <c r="E204" s="230"/>
      <c r="F204" s="230"/>
      <c r="G204" s="230"/>
      <c r="H204" s="230"/>
      <c r="I204" s="252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</row>
    <row r="205" spans="5:58">
      <c r="E205" s="230"/>
      <c r="F205" s="230"/>
      <c r="G205" s="230"/>
      <c r="H205" s="230"/>
      <c r="I205" s="252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</row>
    <row r="206" spans="5:58">
      <c r="E206" s="230"/>
      <c r="F206" s="230"/>
      <c r="G206" s="230"/>
      <c r="H206" s="230"/>
      <c r="I206" s="252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</row>
    <row r="207" spans="5:58">
      <c r="E207" s="230"/>
      <c r="F207" s="230"/>
      <c r="G207" s="230"/>
      <c r="H207" s="230"/>
      <c r="I207" s="252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</row>
    <row r="208" spans="5:58">
      <c r="E208" s="230"/>
      <c r="F208" s="230"/>
      <c r="G208" s="230"/>
      <c r="H208" s="230"/>
      <c r="I208" s="252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</row>
    <row r="209" spans="5:58">
      <c r="E209" s="230"/>
      <c r="F209" s="230"/>
      <c r="G209" s="230"/>
      <c r="H209" s="230"/>
      <c r="I209" s="252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</row>
    <row r="210" spans="5:58">
      <c r="E210" s="230"/>
      <c r="F210" s="230"/>
      <c r="G210" s="230"/>
      <c r="H210" s="230"/>
      <c r="I210" s="252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</row>
    <row r="211" spans="5:58">
      <c r="E211" s="230"/>
      <c r="F211" s="230"/>
      <c r="G211" s="230"/>
      <c r="H211" s="230"/>
      <c r="I211" s="252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</row>
    <row r="212" spans="5:58">
      <c r="E212" s="230"/>
      <c r="F212" s="230"/>
      <c r="G212" s="230"/>
      <c r="H212" s="230"/>
      <c r="I212" s="252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</row>
    <row r="213" spans="5:58">
      <c r="E213" s="230"/>
      <c r="F213" s="230"/>
      <c r="G213" s="230"/>
      <c r="H213" s="230"/>
      <c r="I213" s="252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</row>
    <row r="214" spans="5:58">
      <c r="E214" s="230"/>
      <c r="F214" s="230"/>
      <c r="G214" s="230"/>
      <c r="H214" s="230"/>
      <c r="I214" s="252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</row>
    <row r="215" spans="5:58">
      <c r="E215" s="230"/>
      <c r="F215" s="230"/>
      <c r="G215" s="230"/>
      <c r="H215" s="230"/>
      <c r="I215" s="252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</row>
    <row r="216" spans="5:58">
      <c r="E216" s="230"/>
      <c r="F216" s="230"/>
      <c r="G216" s="230"/>
      <c r="H216" s="230"/>
      <c r="I216" s="252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</row>
    <row r="217" spans="5:58">
      <c r="E217" s="230"/>
      <c r="F217" s="230"/>
      <c r="G217" s="230"/>
      <c r="H217" s="230"/>
      <c r="I217" s="252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</row>
    <row r="218" spans="5:58">
      <c r="E218" s="230"/>
      <c r="F218" s="230"/>
      <c r="G218" s="230"/>
      <c r="H218" s="230"/>
      <c r="I218" s="252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</row>
    <row r="219" spans="5:58">
      <c r="E219" s="230"/>
      <c r="F219" s="230"/>
      <c r="G219" s="230"/>
      <c r="H219" s="230"/>
      <c r="I219" s="252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</row>
    <row r="220" spans="5:58">
      <c r="E220" s="230"/>
      <c r="F220" s="230"/>
      <c r="G220" s="230"/>
      <c r="H220" s="230"/>
      <c r="I220" s="252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</row>
    <row r="221" spans="5:58">
      <c r="E221" s="230"/>
      <c r="F221" s="230"/>
      <c r="G221" s="230"/>
      <c r="H221" s="230"/>
      <c r="I221" s="252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230"/>
      <c r="AZ221" s="230"/>
      <c r="BA221" s="230"/>
      <c r="BB221" s="230"/>
      <c r="BC221" s="230"/>
      <c r="BD221" s="230"/>
      <c r="BE221" s="230"/>
      <c r="BF221" s="230"/>
    </row>
    <row r="222" spans="5:58">
      <c r="E222" s="230"/>
      <c r="F222" s="230"/>
      <c r="G222" s="230"/>
      <c r="H222" s="230"/>
      <c r="I222" s="252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230"/>
      <c r="AZ222" s="230"/>
      <c r="BA222" s="230"/>
      <c r="BB222" s="230"/>
      <c r="BC222" s="230"/>
      <c r="BD222" s="230"/>
      <c r="BE222" s="230"/>
      <c r="BF222" s="230"/>
    </row>
    <row r="223" spans="5:58">
      <c r="E223" s="230"/>
      <c r="F223" s="230"/>
      <c r="G223" s="230"/>
      <c r="H223" s="230"/>
      <c r="I223" s="252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</row>
    <row r="224" spans="5:58">
      <c r="E224" s="230"/>
      <c r="F224" s="230"/>
      <c r="G224" s="230"/>
      <c r="H224" s="230"/>
      <c r="I224" s="252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</row>
    <row r="225" spans="5:58">
      <c r="E225" s="230"/>
      <c r="F225" s="230"/>
      <c r="G225" s="230"/>
      <c r="H225" s="230"/>
      <c r="I225" s="252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</row>
    <row r="226" spans="5:58">
      <c r="E226" s="230"/>
      <c r="F226" s="230"/>
      <c r="G226" s="230"/>
      <c r="H226" s="230"/>
      <c r="I226" s="252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</row>
    <row r="227" spans="5:58">
      <c r="E227" s="230"/>
      <c r="F227" s="230"/>
      <c r="G227" s="230"/>
      <c r="H227" s="230"/>
      <c r="I227" s="252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</row>
    <row r="228" spans="5:58">
      <c r="E228" s="230"/>
      <c r="F228" s="230"/>
      <c r="G228" s="230"/>
      <c r="H228" s="230"/>
      <c r="I228" s="252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</row>
    <row r="229" spans="5:58">
      <c r="E229" s="230"/>
      <c r="F229" s="230"/>
      <c r="G229" s="230"/>
      <c r="H229" s="230"/>
      <c r="I229" s="252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</row>
    <row r="230" spans="5:58">
      <c r="E230" s="230"/>
      <c r="F230" s="230"/>
      <c r="G230" s="230"/>
      <c r="H230" s="230"/>
      <c r="I230" s="252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</row>
    <row r="231" spans="5:58">
      <c r="E231" s="230"/>
      <c r="F231" s="230"/>
      <c r="G231" s="230"/>
      <c r="H231" s="230"/>
      <c r="I231" s="252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</row>
    <row r="232" spans="5:58">
      <c r="E232" s="230"/>
      <c r="F232" s="230"/>
      <c r="G232" s="230"/>
      <c r="H232" s="230"/>
      <c r="I232" s="252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</row>
    <row r="233" spans="5:58">
      <c r="E233" s="230"/>
      <c r="F233" s="230"/>
      <c r="G233" s="230"/>
      <c r="H233" s="230"/>
      <c r="I233" s="252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</row>
    <row r="234" spans="5:58">
      <c r="E234" s="230"/>
      <c r="F234" s="230"/>
      <c r="G234" s="230"/>
      <c r="H234" s="230"/>
      <c r="I234" s="252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</row>
    <row r="235" spans="5:58">
      <c r="E235" s="230"/>
      <c r="F235" s="230"/>
      <c r="G235" s="230"/>
      <c r="H235" s="230"/>
      <c r="I235" s="252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</row>
    <row r="236" spans="5:58">
      <c r="E236" s="230"/>
      <c r="F236" s="230"/>
      <c r="G236" s="230"/>
      <c r="H236" s="230"/>
      <c r="I236" s="252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</row>
    <row r="237" spans="5:58">
      <c r="E237" s="230"/>
      <c r="F237" s="230"/>
      <c r="G237" s="230"/>
      <c r="H237" s="230"/>
      <c r="I237" s="252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</row>
    <row r="238" spans="5:58">
      <c r="E238" s="230"/>
      <c r="F238" s="230"/>
      <c r="G238" s="230"/>
      <c r="H238" s="230"/>
      <c r="I238" s="252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</row>
    <row r="239" spans="5:58">
      <c r="E239" s="230"/>
      <c r="F239" s="230"/>
      <c r="G239" s="230"/>
      <c r="H239" s="230"/>
      <c r="I239" s="252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</row>
    <row r="240" spans="5:58">
      <c r="E240" s="230"/>
      <c r="F240" s="230"/>
      <c r="G240" s="230"/>
      <c r="H240" s="230"/>
      <c r="I240" s="252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</row>
    <row r="241" spans="5:58">
      <c r="E241" s="230"/>
      <c r="F241" s="230"/>
      <c r="G241" s="230"/>
      <c r="H241" s="230"/>
      <c r="I241" s="252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</row>
    <row r="242" spans="5:58">
      <c r="E242" s="230"/>
      <c r="F242" s="230"/>
      <c r="G242" s="230"/>
      <c r="H242" s="230"/>
      <c r="I242" s="252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</row>
    <row r="243" spans="5:58">
      <c r="E243" s="230"/>
      <c r="F243" s="230"/>
      <c r="G243" s="230"/>
      <c r="H243" s="230"/>
      <c r="I243" s="252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</row>
    <row r="244" spans="5:58">
      <c r="E244" s="230"/>
      <c r="F244" s="230"/>
      <c r="G244" s="230"/>
      <c r="H244" s="230"/>
      <c r="I244" s="252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</row>
    <row r="245" spans="5:58">
      <c r="E245" s="230"/>
      <c r="F245" s="230"/>
      <c r="G245" s="230"/>
      <c r="H245" s="230"/>
      <c r="I245" s="252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</row>
    <row r="246" spans="5:58">
      <c r="E246" s="230"/>
      <c r="F246" s="230"/>
      <c r="G246" s="230"/>
      <c r="H246" s="230"/>
      <c r="I246" s="252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</row>
    <row r="247" spans="5:58">
      <c r="E247" s="230"/>
      <c r="F247" s="230"/>
      <c r="G247" s="230"/>
      <c r="H247" s="230"/>
      <c r="I247" s="252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</row>
    <row r="248" spans="5:58">
      <c r="E248" s="230"/>
      <c r="F248" s="230"/>
      <c r="G248" s="230"/>
      <c r="H248" s="230"/>
      <c r="I248" s="252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</row>
    <row r="249" spans="5:58">
      <c r="E249" s="230"/>
      <c r="F249" s="230"/>
      <c r="G249" s="230"/>
      <c r="H249" s="230"/>
      <c r="I249" s="252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</row>
    <row r="250" spans="5:58">
      <c r="E250" s="230"/>
      <c r="F250" s="230"/>
      <c r="G250" s="230"/>
      <c r="H250" s="230"/>
      <c r="I250" s="252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</row>
    <row r="251" spans="5:58">
      <c r="E251" s="230"/>
      <c r="F251" s="230"/>
      <c r="G251" s="230"/>
      <c r="H251" s="230"/>
      <c r="I251" s="252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</row>
    <row r="252" spans="5:58">
      <c r="E252" s="230"/>
      <c r="F252" s="230"/>
      <c r="G252" s="230"/>
      <c r="H252" s="230"/>
      <c r="I252" s="252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</row>
    <row r="253" spans="5:58">
      <c r="E253" s="230"/>
      <c r="F253" s="230"/>
      <c r="G253" s="230"/>
      <c r="H253" s="230"/>
      <c r="I253" s="252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</row>
    <row r="254" spans="5:58">
      <c r="E254" s="230"/>
      <c r="F254" s="230"/>
      <c r="G254" s="230"/>
      <c r="H254" s="230"/>
      <c r="I254" s="252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230"/>
      <c r="AZ254" s="230"/>
      <c r="BA254" s="230"/>
      <c r="BB254" s="230"/>
      <c r="BC254" s="230"/>
      <c r="BD254" s="230"/>
      <c r="BE254" s="230"/>
      <c r="BF254" s="230"/>
    </row>
    <row r="255" spans="5:58">
      <c r="E255" s="230"/>
      <c r="F255" s="230"/>
      <c r="G255" s="230"/>
      <c r="H255" s="230"/>
      <c r="I255" s="252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230"/>
      <c r="AU255" s="230"/>
      <c r="AV255" s="230"/>
      <c r="AW255" s="230"/>
      <c r="AX255" s="230"/>
      <c r="AY255" s="230"/>
      <c r="AZ255" s="230"/>
      <c r="BA255" s="230"/>
      <c r="BB255" s="230"/>
      <c r="BC255" s="230"/>
      <c r="BD255" s="230"/>
      <c r="BE255" s="230"/>
      <c r="BF255" s="230"/>
    </row>
    <row r="256" spans="5:58">
      <c r="E256" s="230"/>
      <c r="F256" s="230"/>
      <c r="G256" s="230"/>
      <c r="H256" s="230"/>
      <c r="I256" s="252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0"/>
      <c r="BE256" s="230"/>
      <c r="BF256" s="230"/>
    </row>
    <row r="257" spans="5:58">
      <c r="E257" s="230"/>
      <c r="F257" s="230"/>
      <c r="G257" s="230"/>
      <c r="H257" s="230"/>
      <c r="I257" s="252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0"/>
      <c r="AP257" s="230"/>
      <c r="AQ257" s="230"/>
      <c r="AR257" s="230"/>
      <c r="AS257" s="230"/>
      <c r="AT257" s="230"/>
      <c r="AU257" s="230"/>
      <c r="AV257" s="230"/>
      <c r="AW257" s="230"/>
      <c r="AX257" s="230"/>
      <c r="AY257" s="230"/>
      <c r="AZ257" s="230"/>
      <c r="BA257" s="230"/>
      <c r="BB257" s="230"/>
      <c r="BC257" s="230"/>
      <c r="BD257" s="230"/>
      <c r="BE257" s="230"/>
      <c r="BF257" s="230"/>
    </row>
    <row r="258" spans="5:58">
      <c r="E258" s="230"/>
      <c r="F258" s="230"/>
      <c r="G258" s="230"/>
      <c r="H258" s="230"/>
      <c r="I258" s="252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</row>
    <row r="259" spans="5:58">
      <c r="E259" s="230"/>
      <c r="F259" s="230"/>
      <c r="G259" s="230"/>
      <c r="H259" s="230"/>
      <c r="I259" s="252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</row>
    <row r="260" spans="5:58">
      <c r="E260" s="230"/>
      <c r="F260" s="230"/>
      <c r="G260" s="230"/>
      <c r="H260" s="230"/>
      <c r="I260" s="252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</row>
    <row r="261" spans="5:58">
      <c r="E261" s="230"/>
      <c r="F261" s="230"/>
      <c r="G261" s="230"/>
      <c r="H261" s="230"/>
      <c r="I261" s="252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</row>
    <row r="262" spans="5:58">
      <c r="E262" s="230"/>
      <c r="F262" s="230"/>
      <c r="G262" s="230"/>
      <c r="H262" s="230"/>
      <c r="I262" s="252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</row>
    <row r="263" spans="5:58">
      <c r="E263" s="230"/>
      <c r="F263" s="230"/>
      <c r="G263" s="230"/>
      <c r="H263" s="230"/>
      <c r="I263" s="252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230"/>
      <c r="AZ263" s="230"/>
      <c r="BA263" s="230"/>
      <c r="BB263" s="230"/>
      <c r="BC263" s="230"/>
      <c r="BD263" s="230"/>
      <c r="BE263" s="230"/>
      <c r="BF263" s="230"/>
    </row>
    <row r="264" spans="5:58">
      <c r="E264" s="230"/>
      <c r="F264" s="230"/>
      <c r="G264" s="230"/>
      <c r="H264" s="230"/>
      <c r="I264" s="252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230"/>
      <c r="AO264" s="230"/>
      <c r="AP264" s="230"/>
      <c r="AQ264" s="230"/>
      <c r="AR264" s="230"/>
      <c r="AS264" s="230"/>
      <c r="AT264" s="230"/>
      <c r="AU264" s="230"/>
      <c r="AV264" s="230"/>
      <c r="AW264" s="230"/>
      <c r="AX264" s="230"/>
      <c r="AY264" s="230"/>
      <c r="AZ264" s="230"/>
      <c r="BA264" s="230"/>
      <c r="BB264" s="230"/>
      <c r="BC264" s="230"/>
      <c r="BD264" s="230"/>
      <c r="BE264" s="230"/>
      <c r="BF264" s="230"/>
    </row>
    <row r="265" spans="5:58">
      <c r="E265" s="230"/>
      <c r="F265" s="230"/>
      <c r="G265" s="230"/>
      <c r="H265" s="230"/>
      <c r="I265" s="252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0"/>
      <c r="AP265" s="230"/>
      <c r="AQ265" s="230"/>
      <c r="AR265" s="230"/>
      <c r="AS265" s="230"/>
      <c r="AT265" s="230"/>
      <c r="AU265" s="230"/>
      <c r="AV265" s="230"/>
      <c r="AW265" s="230"/>
      <c r="AX265" s="230"/>
      <c r="AY265" s="230"/>
      <c r="AZ265" s="230"/>
      <c r="BA265" s="230"/>
      <c r="BB265" s="230"/>
      <c r="BC265" s="230"/>
      <c r="BD265" s="230"/>
      <c r="BE265" s="230"/>
      <c r="BF265" s="230"/>
    </row>
    <row r="266" spans="5:58">
      <c r="E266" s="230"/>
      <c r="F266" s="230"/>
      <c r="G266" s="230"/>
      <c r="H266" s="230"/>
      <c r="I266" s="252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0"/>
      <c r="AP266" s="230"/>
      <c r="AQ266" s="230"/>
      <c r="AR266" s="230"/>
      <c r="AS266" s="230"/>
      <c r="AT266" s="230"/>
      <c r="AU266" s="230"/>
      <c r="AV266" s="230"/>
      <c r="AW266" s="230"/>
      <c r="AX266" s="230"/>
      <c r="AY266" s="230"/>
      <c r="AZ266" s="230"/>
      <c r="BA266" s="230"/>
      <c r="BB266" s="230"/>
      <c r="BC266" s="230"/>
      <c r="BD266" s="230"/>
      <c r="BE266" s="230"/>
      <c r="BF266" s="230"/>
    </row>
    <row r="267" spans="5:58">
      <c r="E267" s="230"/>
      <c r="F267" s="230"/>
      <c r="G267" s="230"/>
      <c r="H267" s="230"/>
      <c r="I267" s="252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230"/>
      <c r="AZ267" s="230"/>
      <c r="BA267" s="230"/>
      <c r="BB267" s="230"/>
      <c r="BC267" s="230"/>
      <c r="BD267" s="230"/>
      <c r="BE267" s="230"/>
      <c r="BF267" s="230"/>
    </row>
    <row r="268" spans="5:58">
      <c r="E268" s="230"/>
      <c r="F268" s="230"/>
      <c r="G268" s="230"/>
      <c r="H268" s="230"/>
      <c r="I268" s="252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0"/>
      <c r="AP268" s="230"/>
      <c r="AQ268" s="230"/>
      <c r="AR268" s="230"/>
      <c r="AS268" s="230"/>
      <c r="AT268" s="230"/>
      <c r="AU268" s="230"/>
      <c r="AV268" s="230"/>
      <c r="AW268" s="230"/>
      <c r="AX268" s="230"/>
      <c r="AY268" s="230"/>
      <c r="AZ268" s="230"/>
      <c r="BA268" s="230"/>
      <c r="BB268" s="230"/>
      <c r="BC268" s="230"/>
      <c r="BD268" s="230"/>
      <c r="BE268" s="230"/>
      <c r="BF268" s="230"/>
    </row>
    <row r="269" spans="5:58">
      <c r="E269" s="230"/>
      <c r="F269" s="230"/>
      <c r="G269" s="230"/>
      <c r="H269" s="230"/>
      <c r="I269" s="252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30"/>
      <c r="AY269" s="230"/>
      <c r="AZ269" s="230"/>
      <c r="BA269" s="230"/>
      <c r="BB269" s="230"/>
      <c r="BC269" s="230"/>
      <c r="BD269" s="230"/>
      <c r="BE269" s="230"/>
      <c r="BF269" s="230"/>
    </row>
    <row r="270" spans="5:58">
      <c r="E270" s="230"/>
      <c r="F270" s="230"/>
      <c r="G270" s="230"/>
      <c r="H270" s="230"/>
      <c r="I270" s="252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</row>
    <row r="271" spans="5:58">
      <c r="E271" s="230"/>
      <c r="F271" s="230"/>
      <c r="G271" s="230"/>
      <c r="H271" s="230"/>
      <c r="I271" s="252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0"/>
      <c r="AP271" s="230"/>
      <c r="AQ271" s="230"/>
      <c r="AR271" s="230"/>
      <c r="AS271" s="230"/>
      <c r="AT271" s="230"/>
      <c r="AU271" s="230"/>
      <c r="AV271" s="230"/>
      <c r="AW271" s="230"/>
      <c r="AX271" s="230"/>
      <c r="AY271" s="230"/>
      <c r="AZ271" s="230"/>
      <c r="BA271" s="230"/>
      <c r="BB271" s="230"/>
      <c r="BC271" s="230"/>
      <c r="BD271" s="230"/>
      <c r="BE271" s="230"/>
      <c r="BF271" s="230"/>
    </row>
    <row r="272" spans="5:58">
      <c r="E272" s="230"/>
      <c r="F272" s="230"/>
      <c r="G272" s="230"/>
      <c r="H272" s="230"/>
      <c r="I272" s="252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  <c r="AH272" s="230"/>
      <c r="AI272" s="230"/>
      <c r="AJ272" s="230"/>
      <c r="AK272" s="230"/>
      <c r="AL272" s="230"/>
      <c r="AM272" s="230"/>
      <c r="AN272" s="230"/>
      <c r="AO272" s="230"/>
      <c r="AP272" s="230"/>
      <c r="AQ272" s="230"/>
      <c r="AR272" s="230"/>
      <c r="AS272" s="230"/>
      <c r="AT272" s="230"/>
      <c r="AU272" s="230"/>
      <c r="AV272" s="230"/>
      <c r="AW272" s="230"/>
      <c r="AX272" s="230"/>
      <c r="AY272" s="230"/>
      <c r="AZ272" s="230"/>
      <c r="BA272" s="230"/>
      <c r="BB272" s="230"/>
      <c r="BC272" s="230"/>
      <c r="BD272" s="230"/>
      <c r="BE272" s="230"/>
      <c r="BF272" s="230"/>
    </row>
    <row r="273" spans="5:58">
      <c r="E273" s="230"/>
      <c r="F273" s="230"/>
      <c r="G273" s="230"/>
      <c r="H273" s="230"/>
      <c r="I273" s="252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  <c r="AH273" s="230"/>
      <c r="AI273" s="230"/>
      <c r="AJ273" s="230"/>
      <c r="AK273" s="230"/>
      <c r="AL273" s="230"/>
      <c r="AM273" s="230"/>
      <c r="AN273" s="230"/>
      <c r="AO273" s="230"/>
      <c r="AP273" s="230"/>
      <c r="AQ273" s="230"/>
      <c r="AR273" s="230"/>
      <c r="AS273" s="230"/>
      <c r="AT273" s="230"/>
      <c r="AU273" s="230"/>
      <c r="AV273" s="230"/>
      <c r="AW273" s="230"/>
      <c r="AX273" s="230"/>
      <c r="AY273" s="230"/>
      <c r="AZ273" s="230"/>
      <c r="BA273" s="230"/>
      <c r="BB273" s="230"/>
      <c r="BC273" s="230"/>
      <c r="BD273" s="230"/>
      <c r="BE273" s="230"/>
      <c r="BF273" s="230"/>
    </row>
    <row r="274" spans="5:58">
      <c r="E274" s="230"/>
      <c r="F274" s="230"/>
      <c r="G274" s="230"/>
      <c r="H274" s="230"/>
      <c r="I274" s="252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0"/>
      <c r="AP274" s="230"/>
      <c r="AQ274" s="230"/>
      <c r="AR274" s="230"/>
      <c r="AS274" s="230"/>
      <c r="AT274" s="230"/>
      <c r="AU274" s="230"/>
      <c r="AV274" s="230"/>
      <c r="AW274" s="230"/>
      <c r="AX274" s="230"/>
      <c r="AY274" s="230"/>
      <c r="AZ274" s="230"/>
      <c r="BA274" s="230"/>
      <c r="BB274" s="230"/>
      <c r="BC274" s="230"/>
      <c r="BD274" s="230"/>
      <c r="BE274" s="230"/>
      <c r="BF274" s="230"/>
    </row>
    <row r="275" spans="5:58">
      <c r="E275" s="230"/>
      <c r="F275" s="230"/>
      <c r="G275" s="230"/>
      <c r="H275" s="230"/>
      <c r="I275" s="252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0"/>
      <c r="AP275" s="230"/>
      <c r="AQ275" s="230"/>
      <c r="AR275" s="230"/>
      <c r="AS275" s="230"/>
      <c r="AT275" s="230"/>
      <c r="AU275" s="230"/>
      <c r="AV275" s="230"/>
      <c r="AW275" s="230"/>
      <c r="AX275" s="230"/>
      <c r="AY275" s="230"/>
      <c r="AZ275" s="230"/>
      <c r="BA275" s="230"/>
      <c r="BB275" s="230"/>
      <c r="BC275" s="230"/>
      <c r="BD275" s="230"/>
      <c r="BE275" s="230"/>
      <c r="BF275" s="230"/>
    </row>
    <row r="276" spans="5:58">
      <c r="E276" s="230"/>
      <c r="F276" s="230"/>
      <c r="G276" s="230"/>
      <c r="H276" s="230"/>
      <c r="I276" s="252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  <c r="AH276" s="230"/>
      <c r="AI276" s="230"/>
      <c r="AJ276" s="230"/>
      <c r="AK276" s="230"/>
      <c r="AL276" s="230"/>
      <c r="AM276" s="230"/>
      <c r="AN276" s="230"/>
      <c r="AO276" s="230"/>
      <c r="AP276" s="230"/>
      <c r="AQ276" s="230"/>
      <c r="AR276" s="230"/>
      <c r="AS276" s="230"/>
      <c r="AT276" s="230"/>
      <c r="AU276" s="230"/>
      <c r="AV276" s="230"/>
      <c r="AW276" s="230"/>
      <c r="AX276" s="230"/>
      <c r="AY276" s="230"/>
      <c r="AZ276" s="230"/>
      <c r="BA276" s="230"/>
      <c r="BB276" s="230"/>
      <c r="BC276" s="230"/>
      <c r="BD276" s="230"/>
      <c r="BE276" s="230"/>
      <c r="BF276" s="230"/>
    </row>
    <row r="277" spans="5:58">
      <c r="E277" s="230"/>
      <c r="F277" s="230"/>
      <c r="G277" s="230"/>
      <c r="H277" s="230"/>
      <c r="I277" s="252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230"/>
      <c r="AZ277" s="230"/>
      <c r="BA277" s="230"/>
      <c r="BB277" s="230"/>
      <c r="BC277" s="230"/>
      <c r="BD277" s="230"/>
      <c r="BE277" s="230"/>
      <c r="BF277" s="230"/>
    </row>
    <row r="278" spans="5:58">
      <c r="E278" s="230"/>
      <c r="F278" s="230"/>
      <c r="G278" s="230"/>
      <c r="H278" s="230"/>
      <c r="I278" s="252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0"/>
      <c r="AP278" s="230"/>
      <c r="AQ278" s="230"/>
      <c r="AR278" s="230"/>
      <c r="AS278" s="230"/>
      <c r="AT278" s="230"/>
      <c r="AU278" s="230"/>
      <c r="AV278" s="230"/>
      <c r="AW278" s="230"/>
      <c r="AX278" s="230"/>
      <c r="AY278" s="230"/>
      <c r="AZ278" s="230"/>
      <c r="BA278" s="230"/>
      <c r="BB278" s="230"/>
      <c r="BC278" s="230"/>
      <c r="BD278" s="230"/>
      <c r="BE278" s="230"/>
      <c r="BF278" s="230"/>
    </row>
    <row r="279" spans="5:58">
      <c r="E279" s="230"/>
      <c r="F279" s="230"/>
      <c r="G279" s="230"/>
      <c r="H279" s="230"/>
      <c r="I279" s="252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230"/>
      <c r="AZ279" s="230"/>
      <c r="BA279" s="230"/>
      <c r="BB279" s="230"/>
      <c r="BC279" s="230"/>
      <c r="BD279" s="230"/>
      <c r="BE279" s="230"/>
      <c r="BF279" s="230"/>
    </row>
    <row r="280" spans="5:58">
      <c r="E280" s="230"/>
      <c r="F280" s="230"/>
      <c r="G280" s="230"/>
      <c r="H280" s="230"/>
      <c r="I280" s="252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230"/>
      <c r="AZ280" s="230"/>
      <c r="BA280" s="230"/>
      <c r="BB280" s="230"/>
      <c r="BC280" s="230"/>
      <c r="BD280" s="230"/>
      <c r="BE280" s="230"/>
      <c r="BF280" s="230"/>
    </row>
    <row r="281" spans="5:58">
      <c r="E281" s="230"/>
      <c r="F281" s="230"/>
      <c r="G281" s="230"/>
      <c r="H281" s="230"/>
      <c r="I281" s="252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30"/>
    </row>
    <row r="282" spans="5:58">
      <c r="E282" s="230"/>
      <c r="F282" s="230"/>
      <c r="G282" s="230"/>
      <c r="H282" s="230"/>
      <c r="I282" s="252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230"/>
      <c r="AZ282" s="230"/>
      <c r="BA282" s="230"/>
      <c r="BB282" s="230"/>
      <c r="BC282" s="230"/>
      <c r="BD282" s="230"/>
      <c r="BE282" s="230"/>
      <c r="BF282" s="230"/>
    </row>
    <row r="283" spans="5:58">
      <c r="E283" s="230"/>
      <c r="F283" s="230"/>
      <c r="G283" s="230"/>
      <c r="H283" s="230"/>
      <c r="I283" s="252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230"/>
      <c r="AZ283" s="230"/>
      <c r="BA283" s="230"/>
      <c r="BB283" s="230"/>
      <c r="BC283" s="230"/>
      <c r="BD283" s="230"/>
      <c r="BE283" s="230"/>
      <c r="BF283" s="230"/>
    </row>
    <row r="284" spans="5:58">
      <c r="E284" s="230"/>
      <c r="F284" s="230"/>
      <c r="G284" s="230"/>
      <c r="H284" s="230"/>
      <c r="I284" s="252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230"/>
      <c r="AZ284" s="230"/>
      <c r="BA284" s="230"/>
      <c r="BB284" s="230"/>
      <c r="BC284" s="230"/>
      <c r="BD284" s="230"/>
      <c r="BE284" s="230"/>
      <c r="BF284" s="230"/>
    </row>
    <row r="285" spans="5:58">
      <c r="E285" s="230"/>
      <c r="F285" s="230"/>
      <c r="G285" s="230"/>
      <c r="H285" s="230"/>
      <c r="I285" s="252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230"/>
      <c r="AZ285" s="230"/>
      <c r="BA285" s="230"/>
      <c r="BB285" s="230"/>
      <c r="BC285" s="230"/>
      <c r="BD285" s="230"/>
      <c r="BE285" s="230"/>
      <c r="BF285" s="230"/>
    </row>
    <row r="286" spans="5:58">
      <c r="E286" s="230"/>
      <c r="F286" s="230"/>
      <c r="G286" s="230"/>
      <c r="H286" s="230"/>
      <c r="I286" s="252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</row>
    <row r="287" spans="5:58">
      <c r="E287" s="230"/>
      <c r="F287" s="230"/>
      <c r="G287" s="230"/>
      <c r="H287" s="230"/>
      <c r="I287" s="252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</row>
    <row r="288" spans="5:58">
      <c r="E288" s="230"/>
      <c r="F288" s="230"/>
      <c r="G288" s="230"/>
      <c r="H288" s="230"/>
      <c r="I288" s="252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</row>
    <row r="289" spans="5:58">
      <c r="E289" s="230"/>
      <c r="F289" s="230"/>
      <c r="G289" s="230"/>
      <c r="H289" s="230"/>
      <c r="I289" s="252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</row>
    <row r="290" spans="5:58">
      <c r="E290" s="230"/>
      <c r="F290" s="230"/>
      <c r="G290" s="230"/>
      <c r="H290" s="230"/>
      <c r="I290" s="252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</row>
    <row r="291" spans="5:58">
      <c r="E291" s="230"/>
      <c r="F291" s="230"/>
      <c r="G291" s="230"/>
      <c r="H291" s="230"/>
      <c r="I291" s="252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230"/>
      <c r="AZ291" s="230"/>
      <c r="BA291" s="230"/>
      <c r="BB291" s="230"/>
      <c r="BC291" s="230"/>
      <c r="BD291" s="230"/>
      <c r="BE291" s="230"/>
      <c r="BF291" s="230"/>
    </row>
    <row r="292" spans="5:58">
      <c r="E292" s="230"/>
      <c r="F292" s="230"/>
      <c r="G292" s="230"/>
      <c r="H292" s="230"/>
      <c r="I292" s="252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0"/>
      <c r="BA292" s="230"/>
      <c r="BB292" s="230"/>
      <c r="BC292" s="230"/>
      <c r="BD292" s="230"/>
      <c r="BE292" s="230"/>
      <c r="BF292" s="230"/>
    </row>
    <row r="293" spans="5:58">
      <c r="E293" s="230"/>
      <c r="F293" s="230"/>
      <c r="G293" s="230"/>
      <c r="H293" s="230"/>
      <c r="I293" s="252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0"/>
      <c r="BA293" s="230"/>
      <c r="BB293" s="230"/>
      <c r="BC293" s="230"/>
      <c r="BD293" s="230"/>
      <c r="BE293" s="230"/>
      <c r="BF293" s="230"/>
    </row>
    <row r="294" spans="5:58">
      <c r="E294" s="230"/>
      <c r="F294" s="230"/>
      <c r="G294" s="230"/>
      <c r="H294" s="230"/>
      <c r="I294" s="252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</row>
    <row r="295" spans="5:58">
      <c r="E295" s="230"/>
      <c r="F295" s="230"/>
      <c r="G295" s="230"/>
      <c r="H295" s="230"/>
      <c r="I295" s="252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</row>
    <row r="296" spans="5:58">
      <c r="E296" s="230"/>
      <c r="F296" s="230"/>
      <c r="G296" s="230"/>
      <c r="H296" s="230"/>
      <c r="I296" s="252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</row>
    <row r="297" spans="5:58">
      <c r="E297" s="230"/>
      <c r="F297" s="230"/>
      <c r="G297" s="230"/>
      <c r="H297" s="230"/>
      <c r="I297" s="252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</row>
    <row r="298" spans="5:58">
      <c r="E298" s="230"/>
      <c r="F298" s="230"/>
      <c r="G298" s="230"/>
      <c r="H298" s="230"/>
      <c r="I298" s="252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</row>
    <row r="299" spans="5:58">
      <c r="E299" s="230"/>
      <c r="F299" s="230"/>
      <c r="G299" s="230"/>
      <c r="H299" s="230"/>
      <c r="I299" s="252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</row>
    <row r="300" spans="5:58">
      <c r="E300" s="230"/>
      <c r="F300" s="230"/>
      <c r="G300" s="230"/>
      <c r="H300" s="230"/>
      <c r="I300" s="252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</row>
    <row r="301" spans="5:58">
      <c r="E301" s="230"/>
      <c r="F301" s="230"/>
      <c r="G301" s="230"/>
      <c r="H301" s="230"/>
      <c r="I301" s="252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</row>
    <row r="302" spans="5:58">
      <c r="E302" s="230"/>
      <c r="F302" s="230"/>
      <c r="G302" s="230"/>
      <c r="H302" s="230"/>
      <c r="I302" s="252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</row>
    <row r="303" spans="5:58">
      <c r="E303" s="230"/>
      <c r="F303" s="230"/>
      <c r="G303" s="230"/>
      <c r="H303" s="230"/>
      <c r="I303" s="252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0"/>
      <c r="AT303" s="230"/>
      <c r="AU303" s="230"/>
      <c r="AV303" s="230"/>
      <c r="AW303" s="230"/>
      <c r="AX303" s="230"/>
      <c r="AY303" s="230"/>
      <c r="AZ303" s="230"/>
      <c r="BA303" s="230"/>
      <c r="BB303" s="230"/>
      <c r="BC303" s="230"/>
      <c r="BD303" s="230"/>
      <c r="BE303" s="230"/>
      <c r="BF303" s="230"/>
    </row>
    <row r="304" spans="5:58">
      <c r="E304" s="230"/>
      <c r="F304" s="230"/>
      <c r="G304" s="230"/>
      <c r="H304" s="230"/>
      <c r="I304" s="252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0"/>
      <c r="BA304" s="230"/>
      <c r="BB304" s="230"/>
      <c r="BC304" s="230"/>
      <c r="BD304" s="230"/>
      <c r="BE304" s="230"/>
      <c r="BF304" s="230"/>
    </row>
    <row r="305" spans="5:58">
      <c r="E305" s="230"/>
      <c r="F305" s="230"/>
      <c r="G305" s="230"/>
      <c r="H305" s="230"/>
      <c r="I305" s="252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0"/>
      <c r="BA305" s="230"/>
      <c r="BB305" s="230"/>
      <c r="BC305" s="230"/>
      <c r="BD305" s="230"/>
      <c r="BE305" s="230"/>
      <c r="BF305" s="230"/>
    </row>
    <row r="306" spans="5:58">
      <c r="E306" s="230"/>
      <c r="F306" s="230"/>
      <c r="G306" s="230"/>
      <c r="H306" s="230"/>
      <c r="I306" s="252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0"/>
      <c r="BA306" s="230"/>
      <c r="BB306" s="230"/>
      <c r="BC306" s="230"/>
      <c r="BD306" s="230"/>
      <c r="BE306" s="230"/>
      <c r="BF306" s="230"/>
    </row>
    <row r="307" spans="5:58">
      <c r="E307" s="230"/>
      <c r="F307" s="230"/>
      <c r="G307" s="230"/>
      <c r="H307" s="230"/>
      <c r="I307" s="252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230"/>
      <c r="BD307" s="230"/>
      <c r="BE307" s="230"/>
      <c r="BF307" s="230"/>
    </row>
    <row r="308" spans="5:58">
      <c r="E308" s="230"/>
      <c r="F308" s="230"/>
      <c r="G308" s="230"/>
      <c r="H308" s="230"/>
      <c r="I308" s="252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</row>
    <row r="309" spans="5:58">
      <c r="E309" s="230"/>
      <c r="F309" s="230"/>
      <c r="G309" s="230"/>
      <c r="H309" s="230"/>
      <c r="I309" s="252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</row>
    <row r="310" spans="5:58">
      <c r="E310" s="230"/>
      <c r="F310" s="230"/>
      <c r="G310" s="230"/>
      <c r="H310" s="230"/>
      <c r="I310" s="252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0"/>
      <c r="BA310" s="230"/>
      <c r="BB310" s="230"/>
      <c r="BC310" s="230"/>
      <c r="BD310" s="230"/>
      <c r="BE310" s="230"/>
      <c r="BF310" s="230"/>
    </row>
    <row r="311" spans="5:58">
      <c r="E311" s="230"/>
      <c r="F311" s="230"/>
      <c r="G311" s="230"/>
      <c r="H311" s="230"/>
      <c r="I311" s="252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0"/>
      <c r="BA311" s="230"/>
      <c r="BB311" s="230"/>
      <c r="BC311" s="230"/>
      <c r="BD311" s="230"/>
      <c r="BE311" s="230"/>
      <c r="BF311" s="230"/>
    </row>
    <row r="312" spans="5:58">
      <c r="E312" s="230"/>
      <c r="F312" s="230"/>
      <c r="G312" s="230"/>
      <c r="H312" s="230"/>
      <c r="I312" s="252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</row>
    <row r="313" spans="5:58">
      <c r="E313" s="230"/>
      <c r="F313" s="230"/>
      <c r="G313" s="230"/>
      <c r="H313" s="230"/>
      <c r="I313" s="252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230"/>
      <c r="AZ313" s="230"/>
      <c r="BA313" s="230"/>
      <c r="BB313" s="230"/>
      <c r="BC313" s="230"/>
      <c r="BD313" s="230"/>
      <c r="BE313" s="230"/>
      <c r="BF313" s="230"/>
    </row>
    <row r="314" spans="5:58">
      <c r="E314" s="230"/>
      <c r="F314" s="230"/>
      <c r="G314" s="230"/>
      <c r="H314" s="230"/>
      <c r="I314" s="252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</row>
    <row r="315" spans="5:58">
      <c r="E315" s="230"/>
      <c r="F315" s="230"/>
      <c r="G315" s="230"/>
      <c r="H315" s="230"/>
      <c r="I315" s="252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230"/>
      <c r="AZ315" s="230"/>
      <c r="BA315" s="230"/>
      <c r="BB315" s="230"/>
      <c r="BC315" s="230"/>
      <c r="BD315" s="230"/>
      <c r="BE315" s="230"/>
      <c r="BF315" s="230"/>
    </row>
    <row r="316" spans="5:58">
      <c r="E316" s="230"/>
      <c r="F316" s="230"/>
      <c r="G316" s="230"/>
      <c r="H316" s="230"/>
      <c r="I316" s="252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</row>
    <row r="317" spans="5:58">
      <c r="E317" s="230"/>
      <c r="F317" s="230"/>
      <c r="G317" s="230"/>
      <c r="H317" s="230"/>
      <c r="I317" s="252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  <c r="AA317" s="230"/>
      <c r="AB317" s="230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0"/>
      <c r="BA317" s="230"/>
      <c r="BB317" s="230"/>
      <c r="BC317" s="230"/>
      <c r="BD317" s="230"/>
      <c r="BE317" s="230"/>
      <c r="BF317" s="230"/>
    </row>
    <row r="318" spans="5:58">
      <c r="E318" s="230"/>
      <c r="F318" s="230"/>
      <c r="G318" s="230"/>
      <c r="H318" s="230"/>
      <c r="I318" s="252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</row>
    <row r="319" spans="5:58">
      <c r="E319" s="230"/>
      <c r="F319" s="230"/>
      <c r="G319" s="230"/>
      <c r="H319" s="230"/>
      <c r="I319" s="252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</row>
    <row r="320" spans="5:58">
      <c r="E320" s="230"/>
      <c r="F320" s="230"/>
      <c r="G320" s="230"/>
      <c r="H320" s="230"/>
      <c r="I320" s="252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0"/>
      <c r="BA320" s="230"/>
      <c r="BB320" s="230"/>
      <c r="BC320" s="230"/>
      <c r="BD320" s="230"/>
      <c r="BE320" s="230"/>
      <c r="BF320" s="230"/>
    </row>
    <row r="321" spans="5:58">
      <c r="E321" s="230"/>
      <c r="F321" s="230"/>
      <c r="G321" s="230"/>
      <c r="H321" s="230"/>
      <c r="I321" s="252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0"/>
      <c r="BA321" s="230"/>
      <c r="BB321" s="230"/>
      <c r="BC321" s="230"/>
      <c r="BD321" s="230"/>
      <c r="BE321" s="230"/>
      <c r="BF321" s="230"/>
    </row>
    <row r="322" spans="5:58">
      <c r="E322" s="230"/>
      <c r="F322" s="230"/>
      <c r="G322" s="230"/>
      <c r="H322" s="230"/>
      <c r="I322" s="252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  <c r="AA322" s="230"/>
      <c r="AB322" s="230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0"/>
      <c r="BA322" s="230"/>
      <c r="BB322" s="230"/>
      <c r="BC322" s="230"/>
      <c r="BD322" s="230"/>
      <c r="BE322" s="230"/>
      <c r="BF322" s="230"/>
    </row>
    <row r="323" spans="5:58">
      <c r="E323" s="230"/>
      <c r="F323" s="230"/>
      <c r="G323" s="230"/>
      <c r="H323" s="230"/>
      <c r="I323" s="252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  <c r="AA323" s="230"/>
      <c r="AB323" s="230"/>
      <c r="AC323" s="230"/>
      <c r="AD323" s="230"/>
      <c r="AE323" s="230"/>
      <c r="AF323" s="230"/>
      <c r="AG323" s="230"/>
      <c r="AH323" s="230"/>
      <c r="AI323" s="230"/>
      <c r="AJ323" s="230"/>
      <c r="AK323" s="230"/>
      <c r="AL323" s="230"/>
      <c r="AM323" s="230"/>
      <c r="AN323" s="230"/>
      <c r="AO323" s="230"/>
      <c r="AP323" s="230"/>
      <c r="AQ323" s="230"/>
      <c r="AR323" s="230"/>
      <c r="AS323" s="230"/>
      <c r="AT323" s="230"/>
      <c r="AU323" s="230"/>
      <c r="AV323" s="230"/>
      <c r="AW323" s="230"/>
      <c r="AX323" s="230"/>
      <c r="AY323" s="230"/>
      <c r="AZ323" s="230"/>
      <c r="BA323" s="230"/>
      <c r="BB323" s="230"/>
      <c r="BC323" s="230"/>
      <c r="BD323" s="230"/>
      <c r="BE323" s="230"/>
      <c r="BF323" s="230"/>
    </row>
    <row r="324" spans="5:58">
      <c r="E324" s="230"/>
      <c r="F324" s="230"/>
      <c r="G324" s="230"/>
      <c r="H324" s="230"/>
      <c r="I324" s="252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230"/>
      <c r="AZ324" s="230"/>
      <c r="BA324" s="230"/>
      <c r="BB324" s="230"/>
      <c r="BC324" s="230"/>
      <c r="BD324" s="230"/>
      <c r="BE324" s="230"/>
      <c r="BF324" s="230"/>
    </row>
    <row r="325" spans="5:58">
      <c r="E325" s="230"/>
      <c r="F325" s="230"/>
      <c r="G325" s="230"/>
      <c r="H325" s="230"/>
      <c r="I325" s="252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</row>
    <row r="326" spans="5:58">
      <c r="E326" s="230"/>
      <c r="F326" s="230"/>
      <c r="G326" s="230"/>
      <c r="H326" s="230"/>
      <c r="I326" s="252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0"/>
      <c r="BA326" s="230"/>
      <c r="BB326" s="230"/>
      <c r="BC326" s="230"/>
      <c r="BD326" s="230"/>
      <c r="BE326" s="230"/>
      <c r="BF326" s="230"/>
    </row>
    <row r="327" spans="5:58">
      <c r="E327" s="230"/>
      <c r="F327" s="230"/>
      <c r="G327" s="230"/>
      <c r="H327" s="230"/>
      <c r="I327" s="252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0"/>
      <c r="BA327" s="230"/>
      <c r="BB327" s="230"/>
      <c r="BC327" s="230"/>
      <c r="BD327" s="230"/>
      <c r="BE327" s="230"/>
      <c r="BF327" s="230"/>
    </row>
    <row r="328" spans="5:58">
      <c r="E328" s="230"/>
      <c r="F328" s="230"/>
      <c r="G328" s="230"/>
      <c r="H328" s="230"/>
      <c r="I328" s="252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0"/>
      <c r="BA328" s="230"/>
      <c r="BB328" s="230"/>
      <c r="BC328" s="230"/>
      <c r="BD328" s="230"/>
      <c r="BE328" s="230"/>
      <c r="BF328" s="230"/>
    </row>
    <row r="329" spans="5:58">
      <c r="E329" s="230"/>
      <c r="F329" s="230"/>
      <c r="G329" s="230"/>
      <c r="H329" s="230"/>
      <c r="I329" s="252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0"/>
      <c r="BA329" s="230"/>
      <c r="BB329" s="230"/>
      <c r="BC329" s="230"/>
      <c r="BD329" s="230"/>
      <c r="BE329" s="230"/>
      <c r="BF329" s="230"/>
    </row>
    <row r="330" spans="5:58">
      <c r="E330" s="230"/>
      <c r="F330" s="230"/>
      <c r="G330" s="230"/>
      <c r="H330" s="230"/>
      <c r="I330" s="252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0"/>
      <c r="BA330" s="230"/>
      <c r="BB330" s="230"/>
      <c r="BC330" s="230"/>
      <c r="BD330" s="230"/>
      <c r="BE330" s="230"/>
      <c r="BF330" s="230"/>
    </row>
    <row r="331" spans="5:58">
      <c r="E331" s="230"/>
      <c r="F331" s="230"/>
      <c r="G331" s="230"/>
      <c r="H331" s="230"/>
      <c r="I331" s="252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230"/>
      <c r="AZ331" s="230"/>
      <c r="BA331" s="230"/>
      <c r="BB331" s="230"/>
      <c r="BC331" s="230"/>
      <c r="BD331" s="230"/>
      <c r="BE331" s="230"/>
      <c r="BF331" s="230"/>
    </row>
    <row r="332" spans="5:58">
      <c r="E332" s="230"/>
      <c r="F332" s="230"/>
      <c r="G332" s="230"/>
      <c r="H332" s="230"/>
      <c r="I332" s="252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</row>
    <row r="333" spans="5:58">
      <c r="E333" s="230"/>
      <c r="F333" s="230"/>
      <c r="G333" s="230"/>
      <c r="H333" s="230"/>
      <c r="I333" s="252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230"/>
      <c r="AZ333" s="230"/>
      <c r="BA333" s="230"/>
      <c r="BB333" s="230"/>
      <c r="BC333" s="230"/>
      <c r="BD333" s="230"/>
      <c r="BE333" s="230"/>
      <c r="BF333" s="230"/>
    </row>
    <row r="334" spans="5:58">
      <c r="E334" s="230"/>
      <c r="F334" s="230"/>
      <c r="G334" s="230"/>
      <c r="H334" s="230"/>
      <c r="I334" s="252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</row>
    <row r="335" spans="5:58">
      <c r="E335" s="230"/>
      <c r="F335" s="230"/>
      <c r="G335" s="230"/>
      <c r="H335" s="230"/>
      <c r="I335" s="252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230"/>
      <c r="BD335" s="230"/>
      <c r="BE335" s="230"/>
      <c r="BF335" s="230"/>
    </row>
    <row r="336" spans="5:58">
      <c r="E336" s="230"/>
      <c r="F336" s="230"/>
      <c r="G336" s="230"/>
      <c r="H336" s="230"/>
      <c r="I336" s="252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</row>
    <row r="337" spans="5:58">
      <c r="E337" s="230"/>
      <c r="F337" s="230"/>
      <c r="G337" s="230"/>
      <c r="H337" s="230"/>
      <c r="I337" s="252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</row>
  </sheetData>
  <sheetProtection sheet="1" objects="1" scenarios="1"/>
  <mergeCells count="121">
    <mergeCell ref="E33:H33"/>
    <mergeCell ref="I33:AH33"/>
    <mergeCell ref="AV31:BE31"/>
    <mergeCell ref="AL32:AU32"/>
    <mergeCell ref="AV32:BE32"/>
    <mergeCell ref="AI33:AK33"/>
    <mergeCell ref="AI42:AK42"/>
    <mergeCell ref="AL42:AU42"/>
    <mergeCell ref="AV42:BE42"/>
    <mergeCell ref="E40:H40"/>
    <mergeCell ref="I40:AH40"/>
    <mergeCell ref="AI40:AK40"/>
    <mergeCell ref="AL39:AU39"/>
    <mergeCell ref="AV39:BE39"/>
    <mergeCell ref="AL40:AU40"/>
    <mergeCell ref="AV40:BE40"/>
    <mergeCell ref="AV41:BE41"/>
    <mergeCell ref="AV38:BE38"/>
    <mergeCell ref="BG1:BG16"/>
    <mergeCell ref="E37:H37"/>
    <mergeCell ref="I37:AH37"/>
    <mergeCell ref="AI37:AK37"/>
    <mergeCell ref="AL37:AU37"/>
    <mergeCell ref="E34:H34"/>
    <mergeCell ref="I34:AH34"/>
    <mergeCell ref="AI34:AK34"/>
    <mergeCell ref="AL34:AU34"/>
    <mergeCell ref="AV34:BE34"/>
    <mergeCell ref="E32:H32"/>
    <mergeCell ref="I32:AH32"/>
    <mergeCell ref="AI32:AK32"/>
    <mergeCell ref="AV36:BE36"/>
    <mergeCell ref="AV37:BE37"/>
    <mergeCell ref="E31:H31"/>
    <mergeCell ref="I31:AH31"/>
    <mergeCell ref="AI31:AK31"/>
    <mergeCell ref="AL31:AU31"/>
    <mergeCell ref="AL33:AU33"/>
    <mergeCell ref="AV33:BE33"/>
    <mergeCell ref="AV35:BE35"/>
    <mergeCell ref="E29:H29"/>
    <mergeCell ref="I29:AH29"/>
    <mergeCell ref="E51:N51"/>
    <mergeCell ref="AL38:AU38"/>
    <mergeCell ref="E39:H39"/>
    <mergeCell ref="I35:AH35"/>
    <mergeCell ref="AI35:AK35"/>
    <mergeCell ref="AL35:AU35"/>
    <mergeCell ref="E36:H36"/>
    <mergeCell ref="I36:AH36"/>
    <mergeCell ref="AI36:AK36"/>
    <mergeCell ref="AL36:AU36"/>
    <mergeCell ref="E42:H42"/>
    <mergeCell ref="I42:AH42"/>
    <mergeCell ref="E41:H41"/>
    <mergeCell ref="I41:AH41"/>
    <mergeCell ref="AI41:AK41"/>
    <mergeCell ref="E38:H38"/>
    <mergeCell ref="I38:AH38"/>
    <mergeCell ref="AI38:AK38"/>
    <mergeCell ref="E35:H35"/>
    <mergeCell ref="I39:AH39"/>
    <mergeCell ref="AI39:AK39"/>
    <mergeCell ref="AL41:AU41"/>
    <mergeCell ref="AI29:AK29"/>
    <mergeCell ref="AL29:AU29"/>
    <mergeCell ref="AV29:BE29"/>
    <mergeCell ref="E30:H30"/>
    <mergeCell ref="I30:AH30"/>
    <mergeCell ref="AI30:AK30"/>
    <mergeCell ref="AL30:AU30"/>
    <mergeCell ref="AV30:BE30"/>
    <mergeCell ref="E27:H27"/>
    <mergeCell ref="I27:AH27"/>
    <mergeCell ref="AI27:AK27"/>
    <mergeCell ref="AL27:AU27"/>
    <mergeCell ref="AV27:BE27"/>
    <mergeCell ref="E28:H28"/>
    <mergeCell ref="I28:AH28"/>
    <mergeCell ref="AI28:AK28"/>
    <mergeCell ref="AL28:AU28"/>
    <mergeCell ref="AV28:BE28"/>
    <mergeCell ref="E25:H25"/>
    <mergeCell ref="I25:AH25"/>
    <mergeCell ref="AI25:AK25"/>
    <mergeCell ref="AL25:AU25"/>
    <mergeCell ref="AV25:BE25"/>
    <mergeCell ref="E26:H26"/>
    <mergeCell ref="I26:AH26"/>
    <mergeCell ref="AI26:AK26"/>
    <mergeCell ref="AL26:AU26"/>
    <mergeCell ref="AV26:BE26"/>
    <mergeCell ref="E23:H23"/>
    <mergeCell ref="I23:AH23"/>
    <mergeCell ref="AI23:AK23"/>
    <mergeCell ref="AL23:AU23"/>
    <mergeCell ref="AV23:BE23"/>
    <mergeCell ref="E24:H24"/>
    <mergeCell ref="I24:AH24"/>
    <mergeCell ref="AI24:AK24"/>
    <mergeCell ref="AL24:AU24"/>
    <mergeCell ref="AV24:BE24"/>
    <mergeCell ref="E21:H21"/>
    <mergeCell ref="I21:AH21"/>
    <mergeCell ref="AI21:AK21"/>
    <mergeCell ref="AL21:AU21"/>
    <mergeCell ref="AV21:BE21"/>
    <mergeCell ref="E22:H22"/>
    <mergeCell ref="I22:AH22"/>
    <mergeCell ref="AI22:AK22"/>
    <mergeCell ref="AL22:AU22"/>
    <mergeCell ref="AV22:BE22"/>
    <mergeCell ref="E14:BE14"/>
    <mergeCell ref="E15:BE15"/>
    <mergeCell ref="E16:BE16"/>
    <mergeCell ref="AY17:BE17"/>
    <mergeCell ref="E18:H20"/>
    <mergeCell ref="I18:AH20"/>
    <mergeCell ref="AI18:AK20"/>
    <mergeCell ref="AL18:AU20"/>
    <mergeCell ref="AV18:BE20"/>
  </mergeCells>
  <conditionalFormatting sqref="E62">
    <cfRule type="containsText" dxfId="28" priority="2" operator="containsText" text="Obrazac prazan">
      <formula>NOT(ISERROR(SEARCH("Obrazac prazan",E62)))</formula>
    </cfRule>
  </conditionalFormatting>
  <dataValidations count="1">
    <dataValidation type="whole" allowBlank="1" showInputMessage="1" showErrorMessage="1" sqref="AL22:BE42" xr:uid="{00000000-0002-0000-0700-000000000000}">
      <formula1>-9.99999E+307</formula1>
      <formula2>9.99999E+307</formula2>
    </dataValidation>
  </dataValidations>
  <pageMargins left="0.82708333333333295" right="3.9583333333333297E-2" top="0.29895833333333333" bottom="0.15763888888888899" header="0.51180555555555496" footer="0.51180555555555496"/>
  <pageSetup paperSize="9" scale="40" firstPageNumber="0"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C84D0B-B4C4-48AB-B868-D81646472B63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E18:BG23 F17:BG17 E24:I24 AI24:BG24 E25:BG42 BF43:BG43 H44:BG44 E1:BG10 E12:BG16 E11:AM11 AO11:BG11 BF48:BG49 E45:BG47 AJ49:BD49 AA48:BD48 E48:Y49 AA49:AH49 E62:BG62 E50:BG50 E52:BG58 E51:AK51 AM51:BG51</xm:sqref>
        </x14:conditionalFormatting>
        <x14:conditionalFormatting xmlns:xm="http://schemas.microsoft.com/office/excel/2006/main">
          <x14:cfRule type="expression" priority="1" id="{CA001E5D-2E1D-4288-933E-276AE2651FB5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>
    <tabColor theme="7" tint="-0.499984740745262"/>
    <pageSetUpPr fitToPage="1"/>
  </sheetPr>
  <dimension ref="A1:ALE62"/>
  <sheetViews>
    <sheetView showGridLines="0" view="pageLayout" topLeftCell="F16" zoomScale="40" zoomScaleNormal="70" zoomScaleSheetLayoutView="70" zoomScalePageLayoutView="40" workbookViewId="0">
      <selection activeCell="F31" sqref="F31:I31"/>
    </sheetView>
  </sheetViews>
  <sheetFormatPr defaultColWidth="2.5703125" defaultRowHeight="20.25"/>
  <cols>
    <col min="1" max="1" width="16.7109375" style="29" hidden="1" customWidth="1"/>
    <col min="2" max="2" width="8.140625" style="29" hidden="1" customWidth="1"/>
    <col min="3" max="3" width="11" style="29" hidden="1" customWidth="1"/>
    <col min="4" max="4" width="21.140625" style="29" hidden="1" customWidth="1"/>
    <col min="5" max="5" width="14.28515625" style="29" hidden="1" customWidth="1"/>
    <col min="6" max="8" width="3.42578125" style="8" customWidth="1"/>
    <col min="9" max="9" width="4.85546875" style="8" customWidth="1"/>
    <col min="10" max="10" width="5.140625" style="8" customWidth="1"/>
    <col min="11" max="11" width="7.140625" style="8" customWidth="1"/>
    <col min="12" max="12" width="38.42578125" style="8" customWidth="1"/>
    <col min="13" max="13" width="20" style="8" customWidth="1"/>
    <col min="14" max="14" width="19.85546875" style="8" customWidth="1"/>
    <col min="15" max="15" width="22.28515625" style="8" customWidth="1"/>
    <col min="16" max="16" width="12.85546875" style="8" customWidth="1"/>
    <col min="17" max="19" width="5.42578125" style="8" customWidth="1"/>
    <col min="20" max="20" width="8.140625" style="8" customWidth="1"/>
    <col min="21" max="21" width="7.42578125" style="8" customWidth="1"/>
    <col min="22" max="22" width="10.28515625" style="8" customWidth="1"/>
    <col min="23" max="23" width="10.5703125" style="8" customWidth="1"/>
    <col min="24" max="25" width="4.5703125" style="8" customWidth="1"/>
    <col min="26" max="26" width="3.140625" style="8" customWidth="1"/>
    <col min="27" max="27" width="4.140625" style="8" customWidth="1"/>
    <col min="28" max="28" width="6.7109375" style="8" customWidth="1"/>
    <col min="29" max="993" width="2.5703125" style="8" customWidth="1"/>
    <col min="994" max="994" width="2.5703125" customWidth="1"/>
  </cols>
  <sheetData>
    <row r="1" spans="1:993" s="47" customFormat="1" ht="35.25" customHeight="1">
      <c r="A1" s="46"/>
      <c r="B1" s="46"/>
      <c r="C1" s="46"/>
      <c r="D1" s="46"/>
      <c r="E1" s="46"/>
      <c r="F1" s="231" t="str">
        <f>OsnPodaci!$B$4</f>
        <v>ZIF " prevent INVEST " d.d.</v>
      </c>
      <c r="G1" s="231"/>
      <c r="H1" s="231"/>
      <c r="I1" s="231"/>
      <c r="J1" s="231"/>
      <c r="K1" s="231"/>
      <c r="L1" s="231"/>
      <c r="M1" s="238"/>
      <c r="N1" s="238"/>
      <c r="O1" s="238"/>
      <c r="P1" s="238"/>
      <c r="Q1" s="233"/>
      <c r="R1" s="233"/>
      <c r="S1" s="233"/>
      <c r="T1" s="233"/>
      <c r="U1" s="249"/>
      <c r="V1" s="249"/>
      <c r="W1" s="234"/>
      <c r="X1" s="234"/>
      <c r="Y1" s="234"/>
      <c r="Z1" s="596" t="str">
        <f>OsnPodaci!$A$4</f>
        <v>4200191740002</v>
      </c>
      <c r="AA1" s="46"/>
      <c r="AB1" s="1108" t="str">
        <f>CONCATENATE("*",'#Konverter'!AD14,C40,D40,"*")</f>
        <v>*2286817158922055*</v>
      </c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</row>
    <row r="2" spans="1:993" s="49" customFormat="1" ht="35.25" customHeight="1">
      <c r="A2" s="48"/>
      <c r="B2" s="48"/>
      <c r="C2" s="48"/>
      <c r="D2" s="48"/>
      <c r="E2" s="48"/>
      <c r="F2" s="603" t="s">
        <v>1929</v>
      </c>
      <c r="G2" s="241"/>
      <c r="H2" s="241"/>
      <c r="I2" s="241"/>
      <c r="J2" s="241"/>
      <c r="K2" s="241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1"/>
      <c r="W2" s="241"/>
      <c r="X2" s="241"/>
      <c r="Y2" s="583"/>
      <c r="Z2" s="584" t="s">
        <v>2078</v>
      </c>
      <c r="AA2" s="48"/>
      <c r="AB2" s="110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</row>
    <row r="3" spans="1:993" s="46" customFormat="1" ht="35.25" customHeight="1">
      <c r="F3" s="231" t="str">
        <f>CONCATENATE(OsnPodaci!$A$10,", ",OsnPodaci!$A$13)</f>
        <v>Sarajevo-Novi Grad, Bulevar Meše Selimovića 16</v>
      </c>
      <c r="G3" s="231"/>
      <c r="H3" s="231"/>
      <c r="I3" s="231"/>
      <c r="J3" s="231"/>
      <c r="K3" s="231"/>
      <c r="L3" s="237"/>
      <c r="M3" s="597"/>
      <c r="N3" s="597"/>
      <c r="O3" s="597"/>
      <c r="P3" s="597"/>
      <c r="Q3" s="233"/>
      <c r="R3" s="233"/>
      <c r="S3" s="233"/>
      <c r="T3" s="233"/>
      <c r="U3" s="233"/>
      <c r="V3" s="233"/>
      <c r="W3" s="234"/>
      <c r="X3" s="234"/>
      <c r="Y3" s="234"/>
      <c r="Z3" s="234" t="str">
        <f>IF(AND(OsnPodaci!A16="DA",LEN(OsnPodaci!B16)=12),OsnPodaci!B16,"-")</f>
        <v>-</v>
      </c>
      <c r="AB3" s="1108"/>
    </row>
    <row r="4" spans="1:993" s="49" customFormat="1" ht="35.25" customHeight="1">
      <c r="A4" s="48"/>
      <c r="B4" s="48"/>
      <c r="C4" s="48"/>
      <c r="D4" s="48"/>
      <c r="E4" s="48"/>
      <c r="F4" s="603" t="s">
        <v>2384</v>
      </c>
      <c r="G4" s="241"/>
      <c r="H4" s="241"/>
      <c r="I4" s="241"/>
      <c r="J4" s="241"/>
      <c r="K4" s="241"/>
      <c r="L4" s="240"/>
      <c r="M4" s="240"/>
      <c r="N4" s="240"/>
      <c r="O4" s="240"/>
      <c r="P4" s="240"/>
      <c r="Q4" s="241"/>
      <c r="R4" s="241"/>
      <c r="S4" s="241"/>
      <c r="T4" s="241"/>
      <c r="U4" s="241"/>
      <c r="V4" s="241"/>
      <c r="W4" s="239"/>
      <c r="X4" s="239"/>
      <c r="Y4" s="239"/>
      <c r="Z4" s="584" t="s">
        <v>2081</v>
      </c>
      <c r="AA4" s="48"/>
      <c r="AB4" s="110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</row>
    <row r="5" spans="1:993" s="46" customFormat="1" ht="52.5" customHeight="1">
      <c r="F5" s="1104" t="str">
        <f>OsnPodaci!$B$19</f>
        <v>Trustovi, ostali fondovi i slični finansijski subjekti</v>
      </c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4"/>
      <c r="S5" s="1104"/>
      <c r="T5" s="233"/>
      <c r="U5" s="233"/>
      <c r="V5" s="233"/>
      <c r="X5" s="604"/>
      <c r="Y5" s="604"/>
      <c r="AB5" s="1108"/>
    </row>
    <row r="6" spans="1:993" s="46" customFormat="1" ht="35.25" customHeight="1">
      <c r="F6" s="1104"/>
      <c r="G6" s="1104"/>
      <c r="H6" s="1104"/>
      <c r="I6" s="1104"/>
      <c r="J6" s="1104"/>
      <c r="K6" s="1104"/>
      <c r="L6" s="1104"/>
      <c r="M6" s="1104"/>
      <c r="N6" s="1104"/>
      <c r="O6" s="1104"/>
      <c r="P6" s="1104"/>
      <c r="Q6" s="1104"/>
      <c r="R6" s="1104"/>
      <c r="S6" s="1104"/>
      <c r="T6" s="233"/>
      <c r="U6" s="233"/>
      <c r="V6" s="233"/>
      <c r="X6" s="604"/>
      <c r="Y6" s="604"/>
      <c r="Z6" s="596" t="str">
        <f>OsnPodaci!$A$19</f>
        <v>64.30</v>
      </c>
      <c r="AB6" s="1108"/>
    </row>
    <row r="7" spans="1:993" s="49" customFormat="1" ht="35.25" customHeight="1">
      <c r="A7" s="48"/>
      <c r="B7" s="48"/>
      <c r="C7" s="48"/>
      <c r="D7" s="48"/>
      <c r="E7" s="48"/>
      <c r="F7" s="603" t="s">
        <v>1947</v>
      </c>
      <c r="G7" s="241"/>
      <c r="H7" s="241"/>
      <c r="I7" s="241"/>
      <c r="J7" s="241"/>
      <c r="K7" s="241"/>
      <c r="L7" s="240"/>
      <c r="M7" s="598"/>
      <c r="N7" s="598"/>
      <c r="O7" s="598"/>
      <c r="P7" s="598"/>
      <c r="Q7" s="241"/>
      <c r="R7" s="241"/>
      <c r="S7" s="241"/>
      <c r="T7" s="241"/>
      <c r="U7" s="241"/>
      <c r="V7" s="239"/>
      <c r="W7" s="239"/>
      <c r="X7" s="241"/>
      <c r="Y7" s="241"/>
      <c r="Z7" s="584" t="s">
        <v>2357</v>
      </c>
      <c r="AA7" s="48"/>
      <c r="AB7" s="110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</row>
    <row r="8" spans="1:993" s="46" customFormat="1" ht="35.25" customHeight="1">
      <c r="F8" s="231" t="str">
        <f>OsnPodaci!$B$23</f>
        <v>Raiffeisen Bank d.d. BiH</v>
      </c>
      <c r="G8" s="231"/>
      <c r="H8" s="231"/>
      <c r="I8" s="231"/>
      <c r="J8" s="231"/>
      <c r="K8" s="231"/>
      <c r="L8" s="231"/>
      <c r="M8" s="599"/>
      <c r="N8" s="599"/>
      <c r="O8" s="599"/>
      <c r="P8" s="599"/>
      <c r="Q8" s="233"/>
      <c r="R8" s="233"/>
      <c r="S8" s="233"/>
      <c r="T8" s="233"/>
      <c r="U8" s="233"/>
      <c r="V8" s="233"/>
      <c r="W8" s="235"/>
      <c r="X8" s="233"/>
      <c r="Z8" s="234" t="str">
        <f>IF('#UNOS'!B12="","",'#UNOS'!B12)</f>
        <v>108</v>
      </c>
      <c r="AB8" s="1108"/>
    </row>
    <row r="9" spans="1:993" s="48" customFormat="1" ht="35.25" customHeight="1">
      <c r="F9" s="603" t="s">
        <v>14</v>
      </c>
      <c r="G9" s="241"/>
      <c r="H9" s="241"/>
      <c r="I9" s="241"/>
      <c r="J9" s="241"/>
      <c r="K9" s="241"/>
      <c r="L9" s="240"/>
      <c r="M9" s="600"/>
      <c r="N9" s="600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50"/>
      <c r="Z9" s="584" t="s">
        <v>12</v>
      </c>
      <c r="AB9" s="1108"/>
    </row>
    <row r="10" spans="1:993" s="47" customFormat="1" ht="35.25" customHeight="1">
      <c r="A10" s="46"/>
      <c r="B10" s="46"/>
      <c r="C10" s="46"/>
      <c r="D10" s="46"/>
      <c r="E10" s="46"/>
      <c r="F10" s="1069" t="str">
        <f>OsnPodaci!$A$23</f>
        <v>1610000031640053</v>
      </c>
      <c r="G10" s="1069"/>
      <c r="H10" s="1069"/>
      <c r="I10" s="1069"/>
      <c r="J10" s="1069"/>
      <c r="K10" s="1069"/>
      <c r="L10" s="1069"/>
      <c r="M10" s="235"/>
      <c r="N10" s="235"/>
      <c r="O10" s="233"/>
      <c r="P10" s="233"/>
      <c r="Q10" s="233"/>
      <c r="R10" s="233"/>
      <c r="S10" s="233"/>
      <c r="T10" s="233"/>
      <c r="U10" s="233"/>
      <c r="V10" s="235"/>
      <c r="W10" s="235"/>
      <c r="X10" s="235"/>
      <c r="AA10" s="46"/>
      <c r="AB10" s="1108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</row>
    <row r="11" spans="1:993" s="48" customFormat="1" ht="35.25" customHeight="1">
      <c r="F11" s="603" t="s">
        <v>1949</v>
      </c>
      <c r="G11" s="250"/>
      <c r="H11" s="241"/>
      <c r="I11" s="241"/>
      <c r="J11" s="241"/>
      <c r="K11" s="241"/>
      <c r="L11" s="240"/>
      <c r="M11" s="601"/>
      <c r="N11" s="601"/>
      <c r="O11" s="241"/>
      <c r="P11" s="241"/>
      <c r="Q11" s="241"/>
      <c r="R11" s="241"/>
      <c r="S11" s="241"/>
      <c r="T11" s="241"/>
      <c r="U11" s="241"/>
      <c r="V11" s="241"/>
      <c r="W11" s="240"/>
      <c r="X11" s="241"/>
      <c r="AB11" s="1108"/>
    </row>
    <row r="12" spans="1:993" s="44" customFormat="1" ht="34.5" customHeight="1">
      <c r="A12" s="25"/>
      <c r="B12" s="25"/>
      <c r="C12" s="25"/>
      <c r="D12" s="25"/>
      <c r="E12" s="25"/>
      <c r="F12" s="232"/>
      <c r="G12" s="232"/>
      <c r="H12" s="232"/>
      <c r="I12" s="232"/>
      <c r="J12" s="232"/>
      <c r="K12" s="232"/>
      <c r="L12" s="232"/>
      <c r="M12" s="240"/>
      <c r="N12" s="240"/>
      <c r="O12" s="233"/>
      <c r="P12" s="233"/>
      <c r="Q12" s="233"/>
      <c r="R12" s="233"/>
      <c r="S12" s="241"/>
      <c r="T12" s="241"/>
      <c r="U12" s="238"/>
      <c r="V12" s="238"/>
      <c r="W12" s="233"/>
      <c r="X12" s="233"/>
      <c r="Y12" s="233"/>
      <c r="Z12" s="233"/>
      <c r="AA12" s="45"/>
      <c r="AB12" s="1108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</row>
    <row r="13" spans="1:993" s="17" customFormat="1" ht="29.25" customHeight="1">
      <c r="A13" s="34"/>
      <c r="B13" s="34"/>
      <c r="C13" s="34"/>
      <c r="D13" s="34"/>
      <c r="E13" s="34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38"/>
      <c r="T13" s="238"/>
      <c r="U13" s="240"/>
      <c r="V13" s="602"/>
      <c r="W13" s="602"/>
      <c r="X13" s="602"/>
      <c r="Y13" s="602"/>
      <c r="Z13" s="602"/>
      <c r="AA13" s="8"/>
      <c r="AB13" s="1108"/>
    </row>
    <row r="14" spans="1:993" ht="21.75" customHeight="1"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59"/>
      <c r="T14" s="259"/>
      <c r="U14" s="222"/>
      <c r="V14" s="260"/>
      <c r="W14" s="260"/>
      <c r="X14" s="260"/>
      <c r="Y14" s="260"/>
      <c r="Z14" s="260"/>
      <c r="AA14" s="17"/>
      <c r="AB14" s="1108"/>
    </row>
    <row r="15" spans="1:993" ht="23.25" customHeight="1">
      <c r="F15" s="223"/>
      <c r="G15" s="223"/>
      <c r="H15" s="223"/>
      <c r="I15" s="223"/>
      <c r="J15" s="223"/>
      <c r="K15" s="223"/>
      <c r="L15" s="224"/>
      <c r="M15" s="224"/>
      <c r="N15" s="224"/>
      <c r="O15" s="224"/>
      <c r="P15" s="222"/>
      <c r="Q15" s="222"/>
      <c r="R15" s="261"/>
      <c r="S15" s="261"/>
      <c r="T15" s="261"/>
      <c r="U15" s="261"/>
      <c r="V15" s="260"/>
      <c r="W15" s="260"/>
      <c r="X15" s="260"/>
      <c r="Y15" s="260"/>
      <c r="Z15" s="260"/>
      <c r="AB15" s="1108"/>
    </row>
    <row r="16" spans="1:993" ht="28.5" customHeight="1"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B16" s="1108"/>
      <c r="AC16" s="12"/>
      <c r="AD16" s="12"/>
    </row>
    <row r="17" spans="1:30" ht="32.25" customHeight="1">
      <c r="F17" s="1070" t="s">
        <v>2385</v>
      </c>
      <c r="G17" s="1070"/>
      <c r="H17" s="1070"/>
      <c r="I17" s="1070"/>
      <c r="J17" s="1070"/>
      <c r="K17" s="1070"/>
      <c r="L17" s="1070"/>
      <c r="M17" s="1070"/>
      <c r="N17" s="1070"/>
      <c r="O17" s="1070"/>
      <c r="P17" s="1070"/>
      <c r="Q17" s="1070"/>
      <c r="R17" s="1070"/>
      <c r="S17" s="1070"/>
      <c r="T17" s="1070"/>
      <c r="U17" s="1070"/>
      <c r="V17" s="1070"/>
      <c r="W17" s="1070"/>
      <c r="X17" s="1070"/>
      <c r="Y17" s="1070"/>
      <c r="Z17" s="1070"/>
      <c r="AB17" s="1108"/>
    </row>
    <row r="18" spans="1:30" ht="34.5">
      <c r="F18" s="1070" t="s">
        <v>2386</v>
      </c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0"/>
      <c r="V18" s="1070"/>
      <c r="W18" s="1070"/>
      <c r="X18" s="1070"/>
      <c r="Y18" s="1070"/>
      <c r="Z18" s="1070"/>
      <c r="AB18" s="1108"/>
    </row>
    <row r="19" spans="1:30" ht="32.25" customHeight="1">
      <c r="F19" s="1071" t="str">
        <f>IF(OR(OsnPodaci!A58="",OsnPodaci!B58=""),"Unijeti interval izvještavanja.","za period od "&amp;TEXT(OsnPodaci!A58,"dd.mm.yyyy.")&amp;" do "&amp;TEXT(OsnPodaci!B58,"dd.mm.yyyy.")&amp;" godine")</f>
        <v>za period od 01.01.2022. do 31.12.2022. godine</v>
      </c>
      <c r="G19" s="1071"/>
      <c r="H19" s="1071"/>
      <c r="I19" s="1071"/>
      <c r="J19" s="1071"/>
      <c r="K19" s="1071"/>
      <c r="L19" s="1071"/>
      <c r="M19" s="1071"/>
      <c r="N19" s="1071"/>
      <c r="O19" s="1071"/>
      <c r="P19" s="1071"/>
      <c r="Q19" s="1071"/>
      <c r="R19" s="1071"/>
      <c r="S19" s="1071"/>
      <c r="T19" s="1071"/>
      <c r="U19" s="1071"/>
      <c r="V19" s="1071"/>
      <c r="W19" s="1071"/>
      <c r="X19" s="1071"/>
      <c r="Y19" s="1071"/>
      <c r="Z19" s="1071"/>
      <c r="AB19" s="1108"/>
    </row>
    <row r="20" spans="1:30" ht="29.25" customHeight="1">
      <c r="F20" s="167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222"/>
      <c r="X20" s="160"/>
      <c r="Y20" s="230"/>
      <c r="Z20" s="589" t="s">
        <v>2387</v>
      </c>
      <c r="AB20" s="1108"/>
    </row>
    <row r="21" spans="1:30" ht="29.25" customHeight="1">
      <c r="F21" s="1072" t="s">
        <v>2388</v>
      </c>
      <c r="G21" s="1073"/>
      <c r="H21" s="1073"/>
      <c r="I21" s="1074"/>
      <c r="J21" s="1078" t="s">
        <v>2389</v>
      </c>
      <c r="K21" s="1079"/>
      <c r="L21" s="1079"/>
      <c r="M21" s="1079"/>
      <c r="N21" s="1079"/>
      <c r="O21" s="1080"/>
      <c r="P21" s="1084" t="s">
        <v>2359</v>
      </c>
      <c r="Q21" s="1086" t="s">
        <v>2390</v>
      </c>
      <c r="R21" s="1087"/>
      <c r="S21" s="1087"/>
      <c r="T21" s="1087"/>
      <c r="U21" s="1087"/>
      <c r="V21" s="1087"/>
      <c r="W21" s="1087"/>
      <c r="X21" s="1087"/>
      <c r="Y21" s="1087"/>
      <c r="Z21" s="1088"/>
    </row>
    <row r="22" spans="1:30" ht="157.5" customHeight="1">
      <c r="F22" s="1075"/>
      <c r="G22" s="1076"/>
      <c r="H22" s="1076"/>
      <c r="I22" s="1077"/>
      <c r="J22" s="1081"/>
      <c r="K22" s="1082"/>
      <c r="L22" s="1082"/>
      <c r="M22" s="1082"/>
      <c r="N22" s="1082"/>
      <c r="O22" s="1083"/>
      <c r="P22" s="1085"/>
      <c r="Q22" s="1089" t="s">
        <v>2391</v>
      </c>
      <c r="R22" s="1090"/>
      <c r="S22" s="1090"/>
      <c r="T22" s="1090"/>
      <c r="U22" s="1091"/>
      <c r="V22" s="1089" t="s">
        <v>2392</v>
      </c>
      <c r="W22" s="1090"/>
      <c r="X22" s="1090"/>
      <c r="Y22" s="1090"/>
      <c r="Z22" s="1091"/>
      <c r="AC22" s="10"/>
      <c r="AD22" s="10"/>
    </row>
    <row r="23" spans="1:30" ht="25.5" customHeight="1">
      <c r="F23" s="1092">
        <v>1</v>
      </c>
      <c r="G23" s="1093"/>
      <c r="H23" s="1093"/>
      <c r="I23" s="1094"/>
      <c r="J23" s="1092">
        <v>2</v>
      </c>
      <c r="K23" s="1093"/>
      <c r="L23" s="1093"/>
      <c r="M23" s="1093"/>
      <c r="N23" s="1093"/>
      <c r="O23" s="1094"/>
      <c r="P23" s="605">
        <v>3</v>
      </c>
      <c r="Q23" s="1092">
        <v>4</v>
      </c>
      <c r="R23" s="1093"/>
      <c r="S23" s="1093"/>
      <c r="T23" s="1093"/>
      <c r="U23" s="1094"/>
      <c r="V23" s="1092">
        <v>5</v>
      </c>
      <c r="W23" s="1093"/>
      <c r="X23" s="1093"/>
      <c r="Y23" s="1093"/>
      <c r="Z23" s="1094"/>
    </row>
    <row r="24" spans="1:30" ht="33" customHeight="1">
      <c r="A24" s="29">
        <v>0.01</v>
      </c>
      <c r="B24" s="29">
        <f>A38+0.01</f>
        <v>0.16</v>
      </c>
      <c r="C24" s="30">
        <f t="shared" ref="C24:C38" si="0">IF(LEN(Q24)=0,"",1+ABS((Q24*A24)/LEN(Q24))+A24)</f>
        <v>79.992000000000004</v>
      </c>
      <c r="D24" s="30">
        <f t="shared" ref="D24:D38" si="1">IF(LEN(V24)=0,"",1+ABS((V24*B24)/LEN(V24))+B24)</f>
        <v>1405.16</v>
      </c>
      <c r="F24" s="1095" t="s">
        <v>2091</v>
      </c>
      <c r="G24" s="1096"/>
      <c r="H24" s="1096"/>
      <c r="I24" s="1097"/>
      <c r="J24" s="606" t="s">
        <v>2393</v>
      </c>
      <c r="K24" s="607"/>
      <c r="L24" s="607"/>
      <c r="M24" s="607"/>
      <c r="N24" s="607"/>
      <c r="O24" s="608"/>
      <c r="P24" s="609">
        <v>901</v>
      </c>
      <c r="Q24" s="1098">
        <v>39491</v>
      </c>
      <c r="R24" s="1099"/>
      <c r="S24" s="1099"/>
      <c r="T24" s="1099"/>
      <c r="U24" s="1100"/>
      <c r="V24" s="1098">
        <v>43875</v>
      </c>
      <c r="W24" s="1099"/>
      <c r="X24" s="1099"/>
      <c r="Y24" s="1099"/>
      <c r="Z24" s="1100"/>
    </row>
    <row r="25" spans="1:30" ht="33" customHeight="1">
      <c r="A25" s="29">
        <f t="shared" ref="A25:A38" si="2">A24+0.01</f>
        <v>0.02</v>
      </c>
      <c r="B25" s="29">
        <f t="shared" ref="B25:B38" si="3">B24+0.01</f>
        <v>0.17</v>
      </c>
      <c r="C25" s="30" t="str">
        <f t="shared" si="0"/>
        <v/>
      </c>
      <c r="D25" s="30" t="str">
        <f t="shared" si="1"/>
        <v/>
      </c>
      <c r="F25" s="1095" t="s">
        <v>2093</v>
      </c>
      <c r="G25" s="1096"/>
      <c r="H25" s="1096"/>
      <c r="I25" s="1097"/>
      <c r="J25" s="610" t="s">
        <v>2394</v>
      </c>
      <c r="K25" s="611"/>
      <c r="L25" s="611"/>
      <c r="M25" s="611"/>
      <c r="N25" s="611"/>
      <c r="O25" s="612"/>
      <c r="P25" s="609">
        <v>902</v>
      </c>
      <c r="Q25" s="1098"/>
      <c r="R25" s="1099"/>
      <c r="S25" s="1099"/>
      <c r="T25" s="1099"/>
      <c r="U25" s="1100"/>
      <c r="V25" s="1098"/>
      <c r="W25" s="1099"/>
      <c r="X25" s="1099"/>
      <c r="Y25" s="1099"/>
      <c r="Z25" s="1100"/>
    </row>
    <row r="26" spans="1:30" ht="33" customHeight="1">
      <c r="A26" s="29">
        <f t="shared" si="2"/>
        <v>0.03</v>
      </c>
      <c r="B26" s="29">
        <f t="shared" si="3"/>
        <v>0.18000000000000002</v>
      </c>
      <c r="C26" s="30">
        <f t="shared" si="0"/>
        <v>237.976</v>
      </c>
      <c r="D26" s="30">
        <f t="shared" si="1"/>
        <v>1580.6800000000003</v>
      </c>
      <c r="F26" s="1086" t="s">
        <v>2101</v>
      </c>
      <c r="G26" s="1087"/>
      <c r="H26" s="1087"/>
      <c r="I26" s="1088"/>
      <c r="J26" s="613" t="s">
        <v>2395</v>
      </c>
      <c r="K26" s="614"/>
      <c r="L26" s="614"/>
      <c r="M26" s="614"/>
      <c r="N26" s="614"/>
      <c r="O26" s="614"/>
      <c r="P26" s="615">
        <v>903</v>
      </c>
      <c r="Q26" s="1101">
        <f>IFERROR(IF(AND(Q24,Q25)="","",SUM(Q24,Q25)),"")</f>
        <v>39491</v>
      </c>
      <c r="R26" s="1102"/>
      <c r="S26" s="1102"/>
      <c r="T26" s="1102"/>
      <c r="U26" s="1103"/>
      <c r="V26" s="1101">
        <f>IFERROR(IF(AND(V24,V25)="","",SUM(V24,V25)),"")</f>
        <v>43875</v>
      </c>
      <c r="W26" s="1102"/>
      <c r="X26" s="1102"/>
      <c r="Y26" s="1102"/>
      <c r="Z26" s="1103"/>
    </row>
    <row r="27" spans="1:30" ht="33" customHeight="1">
      <c r="A27" s="29">
        <f t="shared" si="2"/>
        <v>0.04</v>
      </c>
      <c r="B27" s="29">
        <f t="shared" si="3"/>
        <v>0.19000000000000003</v>
      </c>
      <c r="C27" s="30">
        <f t="shared" si="0"/>
        <v>36.92</v>
      </c>
      <c r="D27" s="30">
        <f t="shared" si="1"/>
        <v>194.75250000000003</v>
      </c>
      <c r="F27" s="1095" t="s">
        <v>2108</v>
      </c>
      <c r="G27" s="1096"/>
      <c r="H27" s="1096"/>
      <c r="I27" s="1097"/>
      <c r="J27" s="610" t="s">
        <v>2396</v>
      </c>
      <c r="K27" s="611"/>
      <c r="L27" s="611"/>
      <c r="M27" s="611"/>
      <c r="N27" s="611"/>
      <c r="O27" s="612"/>
      <c r="P27" s="609">
        <v>904</v>
      </c>
      <c r="Q27" s="1098">
        <v>3588</v>
      </c>
      <c r="R27" s="1099"/>
      <c r="S27" s="1099"/>
      <c r="T27" s="1099"/>
      <c r="U27" s="1100"/>
      <c r="V27" s="1098">
        <v>4075</v>
      </c>
      <c r="W27" s="1099"/>
      <c r="X27" s="1099"/>
      <c r="Y27" s="1099"/>
      <c r="Z27" s="1100"/>
    </row>
    <row r="28" spans="1:30" ht="33" customHeight="1">
      <c r="A28" s="29">
        <f t="shared" si="2"/>
        <v>0.05</v>
      </c>
      <c r="B28" s="29">
        <f t="shared" si="3"/>
        <v>0.20000000000000004</v>
      </c>
      <c r="C28" s="30">
        <f t="shared" si="0"/>
        <v>194.59000000000003</v>
      </c>
      <c r="D28" s="30">
        <f t="shared" si="1"/>
        <v>862.9200000000003</v>
      </c>
      <c r="F28" s="1095" t="s">
        <v>2122</v>
      </c>
      <c r="G28" s="1096"/>
      <c r="H28" s="1096"/>
      <c r="I28" s="1097"/>
      <c r="J28" s="610" t="s">
        <v>2397</v>
      </c>
      <c r="K28" s="611"/>
      <c r="L28" s="611"/>
      <c r="M28" s="611"/>
      <c r="N28" s="611"/>
      <c r="O28" s="612"/>
      <c r="P28" s="609">
        <v>905</v>
      </c>
      <c r="Q28" s="1098">
        <v>19354</v>
      </c>
      <c r="R28" s="1099"/>
      <c r="S28" s="1099"/>
      <c r="T28" s="1099"/>
      <c r="U28" s="1100"/>
      <c r="V28" s="1098">
        <v>21543</v>
      </c>
      <c r="W28" s="1099"/>
      <c r="X28" s="1099"/>
      <c r="Y28" s="1099"/>
      <c r="Z28" s="1100"/>
    </row>
    <row r="29" spans="1:30" ht="33" customHeight="1">
      <c r="A29" s="29">
        <f t="shared" si="2"/>
        <v>6.0000000000000005E-2</v>
      </c>
      <c r="B29" s="29">
        <f t="shared" si="3"/>
        <v>0.21000000000000005</v>
      </c>
      <c r="C29" s="30">
        <f t="shared" si="0"/>
        <v>99.4</v>
      </c>
      <c r="D29" s="30">
        <f t="shared" si="1"/>
        <v>384.30250000000007</v>
      </c>
      <c r="F29" s="1095" t="s">
        <v>2125</v>
      </c>
      <c r="G29" s="1096"/>
      <c r="H29" s="1096"/>
      <c r="I29" s="1097"/>
      <c r="J29" s="610" t="s">
        <v>2398</v>
      </c>
      <c r="K29" s="611"/>
      <c r="L29" s="611"/>
      <c r="M29" s="611"/>
      <c r="N29" s="611"/>
      <c r="O29" s="612"/>
      <c r="P29" s="616">
        <v>906</v>
      </c>
      <c r="Q29" s="1098">
        <v>6556</v>
      </c>
      <c r="R29" s="1099"/>
      <c r="S29" s="1099"/>
      <c r="T29" s="1099"/>
      <c r="U29" s="1100"/>
      <c r="V29" s="1098">
        <v>7297</v>
      </c>
      <c r="W29" s="1099"/>
      <c r="X29" s="1099"/>
      <c r="Y29" s="1099"/>
      <c r="Z29" s="1100"/>
    </row>
    <row r="30" spans="1:30" ht="33" customHeight="1">
      <c r="A30" s="29">
        <f t="shared" si="2"/>
        <v>7.0000000000000007E-2</v>
      </c>
      <c r="B30" s="29">
        <f t="shared" si="3"/>
        <v>0.22000000000000006</v>
      </c>
      <c r="C30" s="30">
        <f t="shared" si="0"/>
        <v>363.81000000000006</v>
      </c>
      <c r="D30" s="30">
        <f t="shared" si="1"/>
        <v>1270.1800000000005</v>
      </c>
      <c r="F30" s="1086" t="s">
        <v>2128</v>
      </c>
      <c r="G30" s="1087"/>
      <c r="H30" s="1087"/>
      <c r="I30" s="1088"/>
      <c r="J30" s="613" t="s">
        <v>2399</v>
      </c>
      <c r="K30" s="614"/>
      <c r="L30" s="614"/>
      <c r="M30" s="614"/>
      <c r="N30" s="614"/>
      <c r="O30" s="614"/>
      <c r="P30" s="615">
        <v>907</v>
      </c>
      <c r="Q30" s="1101">
        <f>IFERROR(IF(AND(Q28,Q29)="","",SUM(Q28,Q29)),"")</f>
        <v>25910</v>
      </c>
      <c r="R30" s="1102"/>
      <c r="S30" s="1102"/>
      <c r="T30" s="1102"/>
      <c r="U30" s="1103"/>
      <c r="V30" s="1101">
        <f>IFERROR(IF(AND(V28,V29)="","",SUM(V28,V29)),"")</f>
        <v>28840</v>
      </c>
      <c r="W30" s="1102"/>
      <c r="X30" s="1102"/>
      <c r="Y30" s="1102"/>
      <c r="Z30" s="1103"/>
    </row>
    <row r="31" spans="1:30" ht="33" customHeight="1">
      <c r="A31" s="29">
        <f t="shared" si="2"/>
        <v>0.08</v>
      </c>
      <c r="B31" s="29">
        <f t="shared" si="3"/>
        <v>0.23000000000000007</v>
      </c>
      <c r="C31" s="30">
        <f t="shared" si="0"/>
        <v>1104.904</v>
      </c>
      <c r="D31" s="30">
        <f t="shared" si="1"/>
        <v>3533.5700000000011</v>
      </c>
      <c r="F31" s="1086" t="s">
        <v>2130</v>
      </c>
      <c r="G31" s="1087"/>
      <c r="H31" s="1087"/>
      <c r="I31" s="1088"/>
      <c r="J31" s="617" t="s">
        <v>2400</v>
      </c>
      <c r="K31" s="618"/>
      <c r="L31" s="618"/>
      <c r="M31" s="618"/>
      <c r="N31" s="618"/>
      <c r="O31" s="619"/>
      <c r="P31" s="620">
        <v>908</v>
      </c>
      <c r="Q31" s="1101">
        <f>IFERROR(IF(AND(Q26,Q27,Q30)="","",SUM(Q26,Q27,Q30)),"")</f>
        <v>68989</v>
      </c>
      <c r="R31" s="1102"/>
      <c r="S31" s="1102"/>
      <c r="T31" s="1102"/>
      <c r="U31" s="1103"/>
      <c r="V31" s="1101">
        <f>IFERROR(IF(AND(V26,V27,V30)="","",SUM(V26,V27,V30)),"")</f>
        <v>76790</v>
      </c>
      <c r="W31" s="1102"/>
      <c r="X31" s="1102"/>
      <c r="Y31" s="1102"/>
      <c r="Z31" s="1103"/>
    </row>
    <row r="32" spans="1:30" ht="33" customHeight="1">
      <c r="A32" s="29">
        <f t="shared" si="2"/>
        <v>0.09</v>
      </c>
      <c r="B32" s="29">
        <f t="shared" si="3"/>
        <v>0.24000000000000007</v>
      </c>
      <c r="C32" s="30" t="str">
        <f t="shared" si="0"/>
        <v/>
      </c>
      <c r="D32" s="30" t="str">
        <f t="shared" si="1"/>
        <v/>
      </c>
      <c r="F32" s="1095" t="s">
        <v>2256</v>
      </c>
      <c r="G32" s="1096"/>
      <c r="H32" s="1096"/>
      <c r="I32" s="1097"/>
      <c r="J32" s="610" t="s">
        <v>2401</v>
      </c>
      <c r="K32" s="611"/>
      <c r="L32" s="611"/>
      <c r="M32" s="611"/>
      <c r="N32" s="611"/>
      <c r="O32" s="612"/>
      <c r="P32" s="621">
        <v>909</v>
      </c>
      <c r="Q32" s="1098"/>
      <c r="R32" s="1099"/>
      <c r="S32" s="1099"/>
      <c r="T32" s="1099"/>
      <c r="U32" s="1100"/>
      <c r="V32" s="1098"/>
      <c r="W32" s="1099"/>
      <c r="X32" s="1099"/>
      <c r="Y32" s="1099"/>
      <c r="Z32" s="1100"/>
    </row>
    <row r="33" spans="1:993" ht="33" customHeight="1">
      <c r="A33" s="29">
        <f t="shared" si="2"/>
        <v>9.9999999999999992E-2</v>
      </c>
      <c r="B33" s="29">
        <f t="shared" si="3"/>
        <v>0.25000000000000006</v>
      </c>
      <c r="C33" s="30" t="str">
        <f t="shared" si="0"/>
        <v/>
      </c>
      <c r="D33" s="30" t="str">
        <f t="shared" si="1"/>
        <v/>
      </c>
      <c r="F33" s="1095" t="s">
        <v>2258</v>
      </c>
      <c r="G33" s="1096"/>
      <c r="H33" s="1096"/>
      <c r="I33" s="1097"/>
      <c r="J33" s="622" t="s">
        <v>2402</v>
      </c>
      <c r="K33" s="623"/>
      <c r="L33" s="623"/>
      <c r="M33" s="623"/>
      <c r="N33" s="623"/>
      <c r="O33" s="624"/>
      <c r="P33" s="609">
        <v>910</v>
      </c>
      <c r="Q33" s="1098"/>
      <c r="R33" s="1099"/>
      <c r="S33" s="1099"/>
      <c r="T33" s="1099"/>
      <c r="U33" s="1100"/>
      <c r="V33" s="1098"/>
      <c r="W33" s="1099"/>
      <c r="X33" s="1099"/>
      <c r="Y33" s="1099"/>
      <c r="Z33" s="1100"/>
    </row>
    <row r="34" spans="1:993" ht="33" customHeight="1">
      <c r="A34" s="29">
        <f t="shared" si="2"/>
        <v>0.10999999999999999</v>
      </c>
      <c r="B34" s="29">
        <f t="shared" si="3"/>
        <v>0.26000000000000006</v>
      </c>
      <c r="C34" s="30" t="str">
        <f t="shared" si="0"/>
        <v/>
      </c>
      <c r="D34" s="30" t="str">
        <f t="shared" si="1"/>
        <v/>
      </c>
      <c r="F34" s="1095" t="s">
        <v>2260</v>
      </c>
      <c r="G34" s="1096"/>
      <c r="H34" s="1096"/>
      <c r="I34" s="1097"/>
      <c r="J34" s="625" t="s">
        <v>2403</v>
      </c>
      <c r="K34" s="626"/>
      <c r="L34" s="626"/>
      <c r="M34" s="626"/>
      <c r="N34" s="626"/>
      <c r="O34" s="627"/>
      <c r="P34" s="609">
        <v>911</v>
      </c>
      <c r="Q34" s="1098"/>
      <c r="R34" s="1099"/>
      <c r="S34" s="1099"/>
      <c r="T34" s="1099"/>
      <c r="U34" s="1100"/>
      <c r="V34" s="1098"/>
      <c r="W34" s="1099"/>
      <c r="X34" s="1099"/>
      <c r="Y34" s="1099"/>
      <c r="Z34" s="1100"/>
    </row>
    <row r="35" spans="1:993" ht="33" customHeight="1">
      <c r="A35" s="29">
        <f t="shared" si="2"/>
        <v>0.11999999999999998</v>
      </c>
      <c r="B35" s="29">
        <f t="shared" si="3"/>
        <v>0.27000000000000007</v>
      </c>
      <c r="C35" s="30" t="str">
        <f t="shared" si="0"/>
        <v/>
      </c>
      <c r="D35" s="30" t="str">
        <f t="shared" si="1"/>
        <v/>
      </c>
      <c r="F35" s="1095" t="s">
        <v>2374</v>
      </c>
      <c r="G35" s="1096"/>
      <c r="H35" s="1096"/>
      <c r="I35" s="1097"/>
      <c r="J35" s="610" t="s">
        <v>2404</v>
      </c>
      <c r="K35" s="611"/>
      <c r="L35" s="611"/>
      <c r="M35" s="611"/>
      <c r="N35" s="611"/>
      <c r="O35" s="612"/>
      <c r="P35" s="616">
        <v>912</v>
      </c>
      <c r="Q35" s="1098"/>
      <c r="R35" s="1099"/>
      <c r="S35" s="1099"/>
      <c r="T35" s="1099"/>
      <c r="U35" s="1100"/>
      <c r="V35" s="1098"/>
      <c r="W35" s="1099"/>
      <c r="X35" s="1099"/>
      <c r="Y35" s="1099"/>
      <c r="Z35" s="1100"/>
    </row>
    <row r="36" spans="1:993" ht="33" customHeight="1">
      <c r="A36" s="29">
        <f t="shared" si="2"/>
        <v>0.12999999999999998</v>
      </c>
      <c r="B36" s="29">
        <f t="shared" si="3"/>
        <v>0.28000000000000008</v>
      </c>
      <c r="C36" s="30" t="str">
        <f t="shared" si="0"/>
        <v/>
      </c>
      <c r="D36" s="30" t="str">
        <f t="shared" si="1"/>
        <v/>
      </c>
      <c r="F36" s="1086" t="s">
        <v>2376</v>
      </c>
      <c r="G36" s="1087"/>
      <c r="H36" s="1087"/>
      <c r="I36" s="1088"/>
      <c r="J36" s="617" t="s">
        <v>2405</v>
      </c>
      <c r="K36" s="618"/>
      <c r="L36" s="618"/>
      <c r="M36" s="618"/>
      <c r="N36" s="618"/>
      <c r="O36" s="619"/>
      <c r="P36" s="615">
        <v>913</v>
      </c>
      <c r="Q36" s="1101" t="str">
        <f>IFERROR(IF(AND(Q32,Q33,Q34,Q35)="","",SUM(Q32,Q33,Q34,Q35)),"")</f>
        <v/>
      </c>
      <c r="R36" s="1102"/>
      <c r="S36" s="1102"/>
      <c r="T36" s="1102"/>
      <c r="U36" s="1103"/>
      <c r="V36" s="1101" t="str">
        <f>IFERROR(IF(AND(V32,V33,V34,V35)="","",SUM(V32,V33,V34,V35)),"")</f>
        <v/>
      </c>
      <c r="W36" s="1102"/>
      <c r="X36" s="1102"/>
      <c r="Y36" s="1102"/>
      <c r="Z36" s="1103"/>
    </row>
    <row r="37" spans="1:993" ht="33" customHeight="1">
      <c r="A37" s="29">
        <f t="shared" si="2"/>
        <v>0.13999999999999999</v>
      </c>
      <c r="B37" s="29">
        <f t="shared" si="3"/>
        <v>0.29000000000000009</v>
      </c>
      <c r="C37" s="30">
        <f t="shared" si="0"/>
        <v>1106.8880000000001</v>
      </c>
      <c r="D37" s="30">
        <f t="shared" si="1"/>
        <v>2546.0400000000009</v>
      </c>
      <c r="F37" s="1086" t="s">
        <v>2378</v>
      </c>
      <c r="G37" s="1087"/>
      <c r="H37" s="1087"/>
      <c r="I37" s="1088"/>
      <c r="J37" s="617" t="s">
        <v>2406</v>
      </c>
      <c r="K37" s="628"/>
      <c r="L37" s="628"/>
      <c r="M37" s="628"/>
      <c r="N37" s="628"/>
      <c r="O37" s="629"/>
      <c r="P37" s="620">
        <v>914</v>
      </c>
      <c r="Q37" s="1101">
        <f>IFERROR(IF(AND(Q26,Q32)="","",SUM(Q26,Q32)),"")</f>
        <v>39491</v>
      </c>
      <c r="R37" s="1102"/>
      <c r="S37" s="1102"/>
      <c r="T37" s="1102"/>
      <c r="U37" s="1103"/>
      <c r="V37" s="1101">
        <f>IFERROR(IF(AND(V26,V32)="","",SUM(V26,V32)),"")</f>
        <v>43875</v>
      </c>
      <c r="W37" s="1102"/>
      <c r="X37" s="1102"/>
      <c r="Y37" s="1102"/>
      <c r="Z37" s="1103"/>
    </row>
    <row r="38" spans="1:993" ht="33" customHeight="1">
      <c r="A38" s="29">
        <f t="shared" si="2"/>
        <v>0.15</v>
      </c>
      <c r="B38" s="29">
        <f t="shared" si="3"/>
        <v>0.3000000000000001</v>
      </c>
      <c r="C38" s="30">
        <f t="shared" si="0"/>
        <v>1.2999999999999998</v>
      </c>
      <c r="D38" s="30">
        <f t="shared" si="1"/>
        <v>1.6</v>
      </c>
      <c r="F38" s="1095" t="s">
        <v>2380</v>
      </c>
      <c r="G38" s="1096"/>
      <c r="H38" s="1096"/>
      <c r="I38" s="1097"/>
      <c r="J38" s="622" t="s">
        <v>2407</v>
      </c>
      <c r="K38" s="623"/>
      <c r="L38" s="623"/>
      <c r="M38" s="623"/>
      <c r="N38" s="623"/>
      <c r="O38" s="623"/>
      <c r="P38" s="609">
        <v>915</v>
      </c>
      <c r="Q38" s="1098">
        <v>1</v>
      </c>
      <c r="R38" s="1099"/>
      <c r="S38" s="1099"/>
      <c r="T38" s="1099"/>
      <c r="U38" s="1100"/>
      <c r="V38" s="1098">
        <v>1</v>
      </c>
      <c r="W38" s="1099"/>
      <c r="X38" s="1099"/>
      <c r="Y38" s="1099"/>
      <c r="Z38" s="1100"/>
    </row>
    <row r="39" spans="1:993" ht="22.5" customHeight="1">
      <c r="C39" s="31">
        <f>IF(ISERROR(ABS(LOG(ABS(SUM(C24:C38)),EXP(3)))),"",ABS(LOG(ABS(SUM(C24:C38)),EXP(3))))</f>
        <v>2.6929766868171541</v>
      </c>
      <c r="D39" s="31">
        <f>IF(ISERROR(ABS(LOG(ABS(SUM(D24:D38)),EXP(3)))),"",ABS(LOG(ABS(SUM(D24:D38)),EXP(3))))</f>
        <v>3.1246969892205523</v>
      </c>
      <c r="E39" s="35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</row>
    <row r="40" spans="1:993" ht="37.5" customHeight="1">
      <c r="C40" s="32" t="str">
        <f>IF(ISERROR(IF(ISERROR(MID(C39,FIND(".",C39,1)+8,13)),MID(C39,FIND(",",C39,1)+8,13),MID(C39,FIND(".",C39,1)+8,13))),"",IF(ISERROR(MID(C39,FIND(".",C39,1)+8,13)),MID(C39,FIND(",",C39,1)+8,13),MID(C39,FIND(".",C39,1)+8,13)))</f>
        <v>8681715</v>
      </c>
      <c r="D40" s="32" t="str">
        <f>IF(ISERROR(IF(ISERROR(MID(D39,FIND(".",D39,1)+8,13)),MID(D39,FIND(",",D39,1)+8,13),MID(D39,FIND(".",D39,1)+8,13))),"",IF(ISERROR(MID(D39,FIND(".",D39,1)+8,13)),MID(D39,FIND(",",D39,1)+8,13),MID(D39,FIND(".",D39,1)+8,13)))</f>
        <v>8922055</v>
      </c>
      <c r="E40" s="33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</row>
    <row r="41" spans="1:993" s="47" customFormat="1" ht="31.5">
      <c r="A41" s="46"/>
      <c r="B41" s="46"/>
      <c r="C41" s="46"/>
      <c r="D41" s="46"/>
      <c r="E41" s="46"/>
      <c r="F41" s="215" t="str">
        <f>IF(OR(OsnPodaci!A10="",TEXT(OsnPodaci!D58,"dd.mm.yyyy.")=""),"",OsnPodaci!A10 &amp; ", " &amp;TEXT(OsnPodaci!D58,"dd.mm.yyyy."))</f>
        <v>Sarajevo-Novi Grad, 28.02.2023.</v>
      </c>
      <c r="G41" s="216"/>
      <c r="H41" s="216"/>
      <c r="I41" s="216"/>
      <c r="J41" s="216"/>
      <c r="K41" s="216"/>
      <c r="L41" s="216"/>
      <c r="M41" s="217"/>
      <c r="N41" s="209"/>
      <c r="O41" s="216" t="str">
        <f>IF(OsnPodaci!A67="","",LEFT(OsnPodaci!A67,FIND(";",OsnPodaci!A67,1)-1))</f>
        <v>HADŽIALIĆ (AHMET) AZIRA</v>
      </c>
      <c r="P41" s="216"/>
      <c r="Q41" s="209"/>
      <c r="R41" s="209"/>
      <c r="S41" s="209"/>
      <c r="T41" s="209"/>
      <c r="U41" s="209"/>
      <c r="V41" s="209"/>
      <c r="W41" s="209"/>
      <c r="X41" s="209"/>
      <c r="Y41" s="209"/>
      <c r="Z41" s="210" t="str">
        <f>CONCATENATE(OsnPodaci!$A$31," ",OsnPodaci!$B$31)</f>
        <v>Dženan Prevljak</v>
      </c>
      <c r="AA41" s="46"/>
      <c r="AB41" s="46"/>
      <c r="AC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</row>
    <row r="42" spans="1:993" s="47" customFormat="1" ht="36" customHeight="1">
      <c r="A42" s="46"/>
      <c r="B42" s="46"/>
      <c r="C42" s="46"/>
      <c r="D42" s="46"/>
      <c r="E42" s="46"/>
      <c r="F42" s="1109" t="s">
        <v>2205</v>
      </c>
      <c r="G42" s="1109"/>
      <c r="H42" s="1109"/>
      <c r="I42" s="1109"/>
      <c r="J42" s="1109"/>
      <c r="K42" s="1109"/>
      <c r="L42" s="209"/>
      <c r="M42" s="217"/>
      <c r="N42" s="219"/>
      <c r="O42" s="567" t="s">
        <v>2382</v>
      </c>
      <c r="P42" s="220"/>
      <c r="Q42" s="209"/>
      <c r="R42" s="209"/>
      <c r="S42" s="209"/>
      <c r="T42" s="209"/>
      <c r="U42" s="209"/>
      <c r="V42" s="209"/>
      <c r="W42" s="209"/>
      <c r="X42" s="209"/>
      <c r="Y42" s="630"/>
      <c r="Z42" s="631" t="s">
        <v>1951</v>
      </c>
      <c r="AA42" s="46"/>
      <c r="AB42" s="46"/>
      <c r="AC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</row>
    <row r="43" spans="1:993" s="47" customFormat="1" ht="25.5" customHeight="1">
      <c r="A43" s="46"/>
      <c r="B43" s="46"/>
      <c r="C43" s="46"/>
      <c r="D43" s="46"/>
      <c r="E43" s="46"/>
      <c r="F43" s="209"/>
      <c r="G43" s="209"/>
      <c r="H43" s="209"/>
      <c r="I43" s="209"/>
      <c r="J43" s="208"/>
      <c r="K43" s="209"/>
      <c r="L43" s="209"/>
      <c r="M43" s="217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46"/>
      <c r="AB43" s="46"/>
      <c r="AC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</row>
    <row r="44" spans="1:993" s="47" customFormat="1" ht="31.5">
      <c r="A44" s="46"/>
      <c r="B44" s="46"/>
      <c r="C44" s="46"/>
      <c r="D44" s="46"/>
      <c r="E44" s="46"/>
      <c r="F44" s="209"/>
      <c r="G44" s="209"/>
      <c r="H44" s="209"/>
      <c r="I44" s="209"/>
      <c r="J44" s="208"/>
      <c r="K44" s="209"/>
      <c r="L44" s="216"/>
      <c r="M44" s="217"/>
      <c r="N44" s="209"/>
      <c r="O44" s="216" t="str">
        <f>IF(OsnPodaci!A67="","",MID(OsnPodaci!A67,FIND("licenca br.",OsnPodaci!A67,1)+11,15))</f>
        <v xml:space="preserve"> 4263/5</v>
      </c>
      <c r="P44" s="216"/>
      <c r="Q44" s="209"/>
      <c r="R44" s="209"/>
      <c r="S44" s="209"/>
      <c r="T44" s="209"/>
      <c r="U44" s="216"/>
      <c r="V44" s="216"/>
      <c r="W44" s="216"/>
      <c r="X44" s="216"/>
      <c r="Y44" s="216"/>
      <c r="AA44" s="46"/>
      <c r="AB44" s="46"/>
      <c r="AC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</row>
    <row r="45" spans="1:993" s="46" customFormat="1" ht="38.25" customHeight="1">
      <c r="F45" s="209"/>
      <c r="G45" s="209"/>
      <c r="H45" s="209"/>
      <c r="I45" s="209"/>
      <c r="J45" s="209"/>
      <c r="K45" s="209"/>
      <c r="L45" s="209"/>
      <c r="M45" s="209"/>
      <c r="N45" s="219"/>
      <c r="O45" s="567" t="s">
        <v>2208</v>
      </c>
      <c r="P45" s="220"/>
      <c r="Q45" s="209"/>
      <c r="R45" s="209"/>
      <c r="S45" s="221" t="s">
        <v>2209</v>
      </c>
      <c r="T45" s="209"/>
      <c r="U45" s="209"/>
      <c r="V45" s="214"/>
      <c r="W45" s="214"/>
      <c r="X45" s="214"/>
      <c r="Y45" s="213"/>
    </row>
    <row r="46" spans="1:993" s="46" customFormat="1" ht="30"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993" s="47" customFormat="1" ht="31.5">
      <c r="A47" s="46"/>
      <c r="B47" s="46"/>
      <c r="C47" s="46"/>
      <c r="D47" s="46"/>
      <c r="E47" s="46"/>
      <c r="F47" s="1105"/>
      <c r="G47" s="1105"/>
      <c r="H47" s="1105"/>
      <c r="I47" s="1105"/>
      <c r="J47" s="1105"/>
      <c r="K47" s="1105"/>
      <c r="L47" s="216"/>
      <c r="M47" s="217"/>
      <c r="N47" s="209"/>
      <c r="O47" s="216" t="str">
        <f>IF(LEN(OsnPodaci!B70)=8,TEXT(OsnPodaci!B70,"\000\/000-000"),IF(LEN(OsnPodaci!B70)=9,TEXT(OsnPodaci!B70,"\0??\/000-0000"),"-"))</f>
        <v>033/407-172</v>
      </c>
      <c r="P47" s="216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46"/>
      <c r="AC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</row>
    <row r="48" spans="1:993" s="46" customFormat="1" ht="30">
      <c r="F48" s="211"/>
      <c r="G48" s="211"/>
      <c r="H48" s="212"/>
      <c r="I48" s="212"/>
      <c r="J48" s="212"/>
      <c r="K48" s="212"/>
      <c r="L48" s="209"/>
      <c r="M48" s="209"/>
      <c r="N48" s="209"/>
      <c r="O48" s="567" t="s">
        <v>2408</v>
      </c>
      <c r="P48" s="218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s="18" customFormat="1" ht="19.5">
      <c r="A49" s="37"/>
      <c r="B49" s="37"/>
      <c r="C49" s="37"/>
      <c r="D49" s="37"/>
      <c r="E49" s="37"/>
      <c r="F49" s="263"/>
      <c r="G49" s="263"/>
      <c r="H49" s="263"/>
      <c r="I49" s="263"/>
      <c r="J49" s="264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</row>
    <row r="50" spans="1:26" ht="12" customHeight="1">
      <c r="F50" s="230"/>
      <c r="G50" s="230"/>
      <c r="H50" s="230"/>
      <c r="I50" s="230"/>
      <c r="J50" s="252"/>
      <c r="K50" s="230"/>
      <c r="L50" s="230"/>
      <c r="M50" s="265"/>
      <c r="N50" s="230"/>
      <c r="O50" s="230"/>
      <c r="P50" s="230"/>
      <c r="Q50" s="230"/>
      <c r="R50" s="230"/>
      <c r="S50" s="222"/>
      <c r="T50" s="222"/>
      <c r="U50" s="222"/>
      <c r="V50" s="230"/>
      <c r="W50" s="230"/>
      <c r="X50" s="230"/>
      <c r="Y50" s="230"/>
      <c r="Z50" s="230"/>
    </row>
    <row r="51" spans="1:26" s="20" customFormat="1" ht="12" customHeight="1">
      <c r="A51" s="36"/>
      <c r="B51" s="36"/>
      <c r="C51" s="36"/>
      <c r="D51" s="36"/>
      <c r="E51" s="3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1:26" s="18" customFormat="1" ht="12" customHeight="1">
      <c r="A52" s="37"/>
      <c r="B52" s="37"/>
      <c r="C52" s="37"/>
      <c r="D52" s="37"/>
      <c r="E52" s="37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</row>
    <row r="53" spans="1:26" ht="12" customHeight="1"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</row>
    <row r="54" spans="1:26" ht="16.149999999999999" customHeight="1"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</row>
    <row r="55" spans="1:26" ht="16.149999999999999" customHeight="1"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</row>
    <row r="56" spans="1:26" ht="16.149999999999999" customHeight="1"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</row>
    <row r="57" spans="1:26" ht="16.149999999999999" customHeight="1"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</row>
    <row r="58" spans="1:26"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</row>
    <row r="59" spans="1:26" s="51" customFormat="1" ht="33.75" customHeight="1">
      <c r="F59" s="632" t="str">
        <f>IF(C40&amp;D40="","Obrazac prazan - unesite podatke na barem jednu poziciju.","Kontrolni broj: "&amp;MID(AB1,2,LEN(AB1)-2))</f>
        <v>Kontrolni broj: 2286817158922055</v>
      </c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595" t="s">
        <v>2383</v>
      </c>
    </row>
    <row r="60" spans="1:26" ht="21" customHeight="1"/>
    <row r="61" spans="1:26" ht="22.15" customHeight="1">
      <c r="F61" s="1106"/>
      <c r="G61" s="1106"/>
      <c r="H61" s="21"/>
      <c r="I61" s="22"/>
      <c r="J61" s="22"/>
      <c r="K61" s="22"/>
      <c r="L61" s="23"/>
      <c r="M61" s="23"/>
      <c r="N61" s="23"/>
      <c r="O61" s="23"/>
      <c r="P61" s="23"/>
      <c r="Q61" s="23"/>
      <c r="R61" s="24"/>
      <c r="S61" s="7"/>
      <c r="T61" s="7"/>
      <c r="U61" s="7"/>
      <c r="V61" s="7"/>
      <c r="W61" s="7"/>
      <c r="X61" s="7"/>
    </row>
    <row r="62" spans="1:26" ht="19.5" customHeight="1">
      <c r="F62" s="1106"/>
      <c r="G62" s="1106"/>
      <c r="H62" s="1107"/>
      <c r="I62" s="1107"/>
      <c r="J62" s="1107"/>
      <c r="K62" s="1107"/>
      <c r="L62" s="1107"/>
      <c r="M62" s="1107"/>
      <c r="N62" s="1107"/>
      <c r="O62" s="1107"/>
      <c r="P62" s="1107"/>
      <c r="Q62" s="1107"/>
      <c r="R62" s="24"/>
      <c r="S62" s="7"/>
      <c r="T62" s="7"/>
      <c r="U62" s="7"/>
      <c r="V62" s="7"/>
      <c r="W62" s="7"/>
    </row>
  </sheetData>
  <sheetProtection sheet="1" objects="1" scenarios="1"/>
  <mergeCells count="65">
    <mergeCell ref="F5:S6"/>
    <mergeCell ref="F47:K47"/>
    <mergeCell ref="F61:G62"/>
    <mergeCell ref="H62:Q62"/>
    <mergeCell ref="AB1:AB20"/>
    <mergeCell ref="F38:I38"/>
    <mergeCell ref="Q38:U38"/>
    <mergeCell ref="V38:Z38"/>
    <mergeCell ref="F42:K42"/>
    <mergeCell ref="F35:I35"/>
    <mergeCell ref="Q35:U35"/>
    <mergeCell ref="V35:Z35"/>
    <mergeCell ref="V36:Z36"/>
    <mergeCell ref="F37:I37"/>
    <mergeCell ref="Q37:U37"/>
    <mergeCell ref="V37:Z37"/>
    <mergeCell ref="F36:I36"/>
    <mergeCell ref="Q36:U36"/>
    <mergeCell ref="F33:I33"/>
    <mergeCell ref="Q33:U33"/>
    <mergeCell ref="V33:Z33"/>
    <mergeCell ref="F34:I34"/>
    <mergeCell ref="Q34:U34"/>
    <mergeCell ref="V34:Z34"/>
    <mergeCell ref="F31:I31"/>
    <mergeCell ref="Q31:U31"/>
    <mergeCell ref="V31:Z31"/>
    <mergeCell ref="F32:I32"/>
    <mergeCell ref="Q32:U32"/>
    <mergeCell ref="V32:Z32"/>
    <mergeCell ref="F29:I29"/>
    <mergeCell ref="Q29:U29"/>
    <mergeCell ref="V29:Z29"/>
    <mergeCell ref="F30:I30"/>
    <mergeCell ref="Q30:U30"/>
    <mergeCell ref="V30:Z30"/>
    <mergeCell ref="F27:I27"/>
    <mergeCell ref="Q27:U27"/>
    <mergeCell ref="V27:Z27"/>
    <mergeCell ref="F28:I28"/>
    <mergeCell ref="Q28:U28"/>
    <mergeCell ref="V28:Z28"/>
    <mergeCell ref="F25:I25"/>
    <mergeCell ref="Q25:U25"/>
    <mergeCell ref="V25:Z25"/>
    <mergeCell ref="F26:I26"/>
    <mergeCell ref="Q26:U26"/>
    <mergeCell ref="V26:Z26"/>
    <mergeCell ref="F23:I23"/>
    <mergeCell ref="J23:O23"/>
    <mergeCell ref="Q23:U23"/>
    <mergeCell ref="V23:Z23"/>
    <mergeCell ref="F24:I24"/>
    <mergeCell ref="Q24:U24"/>
    <mergeCell ref="V24:Z24"/>
    <mergeCell ref="F10:L10"/>
    <mergeCell ref="F17:Z17"/>
    <mergeCell ref="F18:Z18"/>
    <mergeCell ref="F19:Z19"/>
    <mergeCell ref="F21:I22"/>
    <mergeCell ref="J21:O22"/>
    <mergeCell ref="P21:P22"/>
    <mergeCell ref="Q21:Z21"/>
    <mergeCell ref="Q22:U22"/>
    <mergeCell ref="V22:Z22"/>
  </mergeCells>
  <conditionalFormatting sqref="F59">
    <cfRule type="containsText" dxfId="25" priority="2" operator="containsText" text="Obrazac prazan">
      <formula>NOT(ISERROR(SEARCH("Obrazac prazan",F59)))</formula>
    </cfRule>
  </conditionalFormatting>
  <dataValidations count="1">
    <dataValidation type="whole" allowBlank="1" showInputMessage="1" showErrorMessage="1" sqref="Q24:Z38" xr:uid="{00000000-0002-0000-0800-000000000000}">
      <formula1>-9.99999E+307</formula1>
      <formula2>9.99999E+307</formula2>
    </dataValidation>
  </dataValidations>
  <pageMargins left="0.82708333333333295" right="0.196527777777778" top="0.39374999999999999" bottom="0.23611111111111099" header="0.51180555555555496" footer="0.51180555555555496"/>
  <pageSetup paperSize="9" scale="42" firstPageNumber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018E88A-30A9-4DBF-B418-505860612221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G20:AB20 F12:AB19 F10:X11 AA10:AB11 AB8:AB9 F1:AB4 F7:AB7 F9:Z9 F8:X8 Z8 AA21:AB38 F46:AB59 F44:Y45 AA44:AB45 F39:AB43 F5 T5:V6 X5:Y5 AA5:AB5 X6:AB6</xm:sqref>
        </x14:conditionalFormatting>
        <x14:conditionalFormatting xmlns:xm="http://schemas.microsoft.com/office/excel/2006/main">
          <x14:cfRule type="expression" priority="1" id="{8A3AC4E6-9410-48B3-8177-89C791EE2189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F21:Z38 F59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theme="7" tint="-0.499984740745262"/>
    <pageSetUpPr fitToPage="1"/>
  </sheetPr>
  <dimension ref="A1:WWI64"/>
  <sheetViews>
    <sheetView showGridLines="0" view="pageLayout" topLeftCell="C16" zoomScaleNormal="100" workbookViewId="0">
      <selection activeCell="AO15" sqref="AO15"/>
    </sheetView>
  </sheetViews>
  <sheetFormatPr defaultColWidth="2" defaultRowHeight="16.5"/>
  <cols>
    <col min="1" max="1" width="10.42578125" hidden="1" customWidth="1"/>
    <col min="2" max="2" width="9.85546875" hidden="1" customWidth="1"/>
    <col min="3" max="3" width="5.5703125" style="75" bestFit="1" customWidth="1"/>
    <col min="4" max="6" width="2.140625" style="75" bestFit="1" customWidth="1"/>
    <col min="7" max="7" width="1.42578125" style="75" customWidth="1"/>
    <col min="8" max="8" width="2.140625" style="75" bestFit="1" customWidth="1"/>
    <col min="9" max="9" width="5.28515625" style="75" bestFit="1" customWidth="1"/>
    <col min="10" max="11" width="2.140625" style="75" bestFit="1" customWidth="1"/>
    <col min="12" max="20" width="2.28515625" style="75" bestFit="1" customWidth="1"/>
    <col min="21" max="21" width="1.28515625" style="75" customWidth="1"/>
    <col min="22" max="23" width="2.28515625" style="75" bestFit="1" customWidth="1"/>
    <col min="24" max="24" width="1.7109375" style="75" customWidth="1"/>
    <col min="25" max="25" width="1" style="75" customWidth="1"/>
    <col min="26" max="26" width="0.5703125" style="75" hidden="1" customWidth="1"/>
    <col min="27" max="27" width="0.140625" style="75" hidden="1" customWidth="1"/>
    <col min="28" max="32" width="1.7109375" style="75" customWidth="1"/>
    <col min="33" max="33" width="1.5703125" style="75" customWidth="1"/>
    <col min="34" max="38" width="1.7109375" style="75" customWidth="1"/>
    <col min="39" max="39" width="1.28515625" style="75" customWidth="1"/>
    <col min="40" max="42" width="2.28515625" style="75" bestFit="1" customWidth="1"/>
    <col min="43" max="45" width="2.28515625" style="75" customWidth="1"/>
    <col min="46" max="46" width="0.85546875" style="75" customWidth="1"/>
    <col min="47" max="47" width="1.140625" style="75" customWidth="1"/>
    <col min="48" max="48" width="1" style="75" customWidth="1"/>
    <col min="49" max="55" width="2.28515625" style="75" customWidth="1"/>
    <col min="56" max="56" width="1.42578125" style="75" customWidth="1"/>
    <col min="57" max="57" width="3.5703125" style="75" customWidth="1"/>
    <col min="58" max="262" width="2" style="75" customWidth="1"/>
    <col min="263" max="263" width="1.42578125" style="75" customWidth="1"/>
    <col min="264" max="279" width="2" style="75" customWidth="1"/>
    <col min="280" max="280" width="1.7109375" style="75" customWidth="1"/>
    <col min="281" max="281" width="1" style="75" customWidth="1"/>
    <col min="282" max="283" width="2" style="75" hidden="1" customWidth="1"/>
    <col min="284" max="288" width="1.7109375" style="75" customWidth="1"/>
    <col min="289" max="289" width="1.5703125" style="75" customWidth="1"/>
    <col min="290" max="292" width="1.7109375" style="75" customWidth="1"/>
    <col min="293" max="293" width="1.28515625" style="75" customWidth="1"/>
    <col min="294" max="296" width="2" style="75" customWidth="1"/>
    <col min="297" max="309" width="2.28515625" style="75" customWidth="1"/>
    <col min="310" max="518" width="2" style="75" customWidth="1"/>
    <col min="519" max="519" width="1.42578125" style="75" customWidth="1"/>
    <col min="520" max="535" width="2" style="75" customWidth="1"/>
    <col min="536" max="536" width="1.7109375" style="75" customWidth="1"/>
    <col min="537" max="537" width="1" style="75" customWidth="1"/>
    <col min="538" max="539" width="2" style="75" hidden="1" customWidth="1"/>
    <col min="540" max="544" width="1.7109375" style="75" customWidth="1"/>
    <col min="545" max="545" width="1.5703125" style="75" customWidth="1"/>
    <col min="546" max="548" width="1.7109375" style="75" customWidth="1"/>
    <col min="549" max="549" width="1.28515625" style="75" customWidth="1"/>
    <col min="550" max="552" width="2" style="75" customWidth="1"/>
    <col min="553" max="565" width="2.28515625" style="75" customWidth="1"/>
    <col min="566" max="774" width="2" style="75" customWidth="1"/>
    <col min="775" max="775" width="1.42578125" style="75" customWidth="1"/>
    <col min="776" max="791" width="2" style="75" customWidth="1"/>
    <col min="792" max="792" width="1.7109375" style="75" customWidth="1"/>
    <col min="793" max="793" width="1" style="75" customWidth="1"/>
    <col min="794" max="795" width="2" style="75" hidden="1" customWidth="1"/>
    <col min="796" max="800" width="1.7109375" style="75" customWidth="1"/>
    <col min="801" max="801" width="1.5703125" style="75" customWidth="1"/>
    <col min="802" max="804" width="1.7109375" style="75" customWidth="1"/>
    <col min="805" max="805" width="1.28515625" style="75" customWidth="1"/>
    <col min="806" max="808" width="2" style="75" customWidth="1"/>
    <col min="809" max="821" width="2.28515625" style="75" customWidth="1"/>
    <col min="822" max="1030" width="2" style="75" customWidth="1"/>
    <col min="1031" max="1031" width="1.42578125" style="75" customWidth="1"/>
    <col min="1032" max="1047" width="2" style="75" customWidth="1"/>
    <col min="1048" max="1048" width="1.7109375" style="75" customWidth="1"/>
    <col min="1049" max="1049" width="1" style="75" customWidth="1"/>
    <col min="1050" max="1051" width="2" style="75" hidden="1" customWidth="1"/>
    <col min="1052" max="1056" width="1.7109375" style="75" customWidth="1"/>
    <col min="1057" max="1057" width="1.5703125" style="75" customWidth="1"/>
    <col min="1058" max="1060" width="1.7109375" style="75" customWidth="1"/>
    <col min="1061" max="1061" width="1.28515625" style="75" customWidth="1"/>
    <col min="1062" max="1064" width="2" style="75" customWidth="1"/>
    <col min="1065" max="1077" width="2.28515625" style="75" customWidth="1"/>
    <col min="1078" max="1286" width="2" style="75" customWidth="1"/>
    <col min="1287" max="1287" width="1.42578125" style="75" customWidth="1"/>
    <col min="1288" max="1303" width="2" style="75" customWidth="1"/>
    <col min="1304" max="1304" width="1.7109375" style="75" customWidth="1"/>
    <col min="1305" max="1305" width="1" style="75" customWidth="1"/>
    <col min="1306" max="1307" width="2" style="75" hidden="1" customWidth="1"/>
    <col min="1308" max="1312" width="1.7109375" style="75" customWidth="1"/>
    <col min="1313" max="1313" width="1.5703125" style="75" customWidth="1"/>
    <col min="1314" max="1316" width="1.7109375" style="75" customWidth="1"/>
    <col min="1317" max="1317" width="1.28515625" style="75" customWidth="1"/>
    <col min="1318" max="1320" width="2" style="75" customWidth="1"/>
    <col min="1321" max="1333" width="2.28515625" style="75" customWidth="1"/>
    <col min="1334" max="1542" width="2" style="75" customWidth="1"/>
    <col min="1543" max="1543" width="1.42578125" style="75" customWidth="1"/>
    <col min="1544" max="1559" width="2" style="75" customWidth="1"/>
    <col min="1560" max="1560" width="1.7109375" style="75" customWidth="1"/>
    <col min="1561" max="1561" width="1" style="75" customWidth="1"/>
    <col min="1562" max="1563" width="2" style="75" hidden="1" customWidth="1"/>
    <col min="1564" max="1568" width="1.7109375" style="75" customWidth="1"/>
    <col min="1569" max="1569" width="1.5703125" style="75" customWidth="1"/>
    <col min="1570" max="1572" width="1.7109375" style="75" customWidth="1"/>
    <col min="1573" max="1573" width="1.28515625" style="75" customWidth="1"/>
    <col min="1574" max="1576" width="2" style="75" customWidth="1"/>
    <col min="1577" max="1589" width="2.28515625" style="75" customWidth="1"/>
    <col min="1590" max="1798" width="2" style="75" customWidth="1"/>
    <col min="1799" max="1799" width="1.42578125" style="75" customWidth="1"/>
    <col min="1800" max="1815" width="2" style="75" customWidth="1"/>
    <col min="1816" max="1816" width="1.7109375" style="75" customWidth="1"/>
    <col min="1817" max="1817" width="1" style="75" customWidth="1"/>
    <col min="1818" max="1819" width="2" style="75" hidden="1" customWidth="1"/>
    <col min="1820" max="1824" width="1.7109375" style="75" customWidth="1"/>
    <col min="1825" max="1825" width="1.5703125" style="75" customWidth="1"/>
    <col min="1826" max="1828" width="1.7109375" style="75" customWidth="1"/>
    <col min="1829" max="1829" width="1.28515625" style="75" customWidth="1"/>
    <col min="1830" max="1832" width="2" style="75" customWidth="1"/>
    <col min="1833" max="1845" width="2.28515625" style="75" customWidth="1"/>
    <col min="1846" max="2054" width="2" style="75" customWidth="1"/>
    <col min="2055" max="2055" width="1.42578125" style="75" customWidth="1"/>
    <col min="2056" max="2071" width="2" style="75" customWidth="1"/>
    <col min="2072" max="2072" width="1.7109375" style="75" customWidth="1"/>
    <col min="2073" max="2073" width="1" style="75" customWidth="1"/>
    <col min="2074" max="2075" width="2" style="75" hidden="1" customWidth="1"/>
    <col min="2076" max="2080" width="1.7109375" style="75" customWidth="1"/>
    <col min="2081" max="2081" width="1.5703125" style="75" customWidth="1"/>
    <col min="2082" max="2084" width="1.7109375" style="75" customWidth="1"/>
    <col min="2085" max="2085" width="1.28515625" style="75" customWidth="1"/>
    <col min="2086" max="2088" width="2" style="75" customWidth="1"/>
    <col min="2089" max="2101" width="2.28515625" style="75" customWidth="1"/>
    <col min="2102" max="2310" width="2" style="75" customWidth="1"/>
    <col min="2311" max="2311" width="1.42578125" style="75" customWidth="1"/>
    <col min="2312" max="2327" width="2" style="75" customWidth="1"/>
    <col min="2328" max="2328" width="1.7109375" style="75" customWidth="1"/>
    <col min="2329" max="2329" width="1" style="75" customWidth="1"/>
    <col min="2330" max="2331" width="2" style="75" hidden="1" customWidth="1"/>
    <col min="2332" max="2336" width="1.7109375" style="75" customWidth="1"/>
    <col min="2337" max="2337" width="1.5703125" style="75" customWidth="1"/>
    <col min="2338" max="2340" width="1.7109375" style="75" customWidth="1"/>
    <col min="2341" max="2341" width="1.28515625" style="75" customWidth="1"/>
    <col min="2342" max="2344" width="2" style="75" customWidth="1"/>
    <col min="2345" max="2357" width="2.28515625" style="75" customWidth="1"/>
    <col min="2358" max="2566" width="2" style="75" customWidth="1"/>
    <col min="2567" max="2567" width="1.42578125" style="75" customWidth="1"/>
    <col min="2568" max="2583" width="2" style="75" customWidth="1"/>
    <col min="2584" max="2584" width="1.7109375" style="75" customWidth="1"/>
    <col min="2585" max="2585" width="1" style="75" customWidth="1"/>
    <col min="2586" max="2587" width="2" style="75" hidden="1" customWidth="1"/>
    <col min="2588" max="2592" width="1.7109375" style="75" customWidth="1"/>
    <col min="2593" max="2593" width="1.5703125" style="75" customWidth="1"/>
    <col min="2594" max="2596" width="1.7109375" style="75" customWidth="1"/>
    <col min="2597" max="2597" width="1.28515625" style="75" customWidth="1"/>
    <col min="2598" max="2600" width="2" style="75" customWidth="1"/>
    <col min="2601" max="2613" width="2.28515625" style="75" customWidth="1"/>
    <col min="2614" max="2822" width="2" style="75" customWidth="1"/>
    <col min="2823" max="2823" width="1.42578125" style="75" customWidth="1"/>
    <col min="2824" max="2839" width="2" style="75" customWidth="1"/>
    <col min="2840" max="2840" width="1.7109375" style="75" customWidth="1"/>
    <col min="2841" max="2841" width="1" style="75" customWidth="1"/>
    <col min="2842" max="2843" width="2" style="75" hidden="1" customWidth="1"/>
    <col min="2844" max="2848" width="1.7109375" style="75" customWidth="1"/>
    <col min="2849" max="2849" width="1.5703125" style="75" customWidth="1"/>
    <col min="2850" max="2852" width="1.7109375" style="75" customWidth="1"/>
    <col min="2853" max="2853" width="1.28515625" style="75" customWidth="1"/>
    <col min="2854" max="2856" width="2" style="75" customWidth="1"/>
    <col min="2857" max="2869" width="2.28515625" style="75" customWidth="1"/>
    <col min="2870" max="3078" width="2" style="75" customWidth="1"/>
    <col min="3079" max="3079" width="1.42578125" style="75" customWidth="1"/>
    <col min="3080" max="3095" width="2" style="75" customWidth="1"/>
    <col min="3096" max="3096" width="1.7109375" style="75" customWidth="1"/>
    <col min="3097" max="3097" width="1" style="75" customWidth="1"/>
    <col min="3098" max="3099" width="2" style="75" hidden="1" customWidth="1"/>
    <col min="3100" max="3104" width="1.7109375" style="75" customWidth="1"/>
    <col min="3105" max="3105" width="1.5703125" style="75" customWidth="1"/>
    <col min="3106" max="3108" width="1.7109375" style="75" customWidth="1"/>
    <col min="3109" max="3109" width="1.28515625" style="75" customWidth="1"/>
    <col min="3110" max="3112" width="2" style="75" customWidth="1"/>
    <col min="3113" max="3125" width="2.28515625" style="75" customWidth="1"/>
    <col min="3126" max="3334" width="2" style="75" customWidth="1"/>
    <col min="3335" max="3335" width="1.42578125" style="75" customWidth="1"/>
    <col min="3336" max="3351" width="2" style="75" customWidth="1"/>
    <col min="3352" max="3352" width="1.7109375" style="75" customWidth="1"/>
    <col min="3353" max="3353" width="1" style="75" customWidth="1"/>
    <col min="3354" max="3355" width="2" style="75" hidden="1" customWidth="1"/>
    <col min="3356" max="3360" width="1.7109375" style="75" customWidth="1"/>
    <col min="3361" max="3361" width="1.5703125" style="75" customWidth="1"/>
    <col min="3362" max="3364" width="1.7109375" style="75" customWidth="1"/>
    <col min="3365" max="3365" width="1.28515625" style="75" customWidth="1"/>
    <col min="3366" max="3368" width="2" style="75" customWidth="1"/>
    <col min="3369" max="3381" width="2.28515625" style="75" customWidth="1"/>
    <col min="3382" max="3590" width="2" style="75" customWidth="1"/>
    <col min="3591" max="3591" width="1.42578125" style="75" customWidth="1"/>
    <col min="3592" max="3607" width="2" style="75" customWidth="1"/>
    <col min="3608" max="3608" width="1.7109375" style="75" customWidth="1"/>
    <col min="3609" max="3609" width="1" style="75" customWidth="1"/>
    <col min="3610" max="3611" width="2" style="75" hidden="1" customWidth="1"/>
    <col min="3612" max="3616" width="1.7109375" style="75" customWidth="1"/>
    <col min="3617" max="3617" width="1.5703125" style="75" customWidth="1"/>
    <col min="3618" max="3620" width="1.7109375" style="75" customWidth="1"/>
    <col min="3621" max="3621" width="1.28515625" style="75" customWidth="1"/>
    <col min="3622" max="3624" width="2" style="75" customWidth="1"/>
    <col min="3625" max="3637" width="2.28515625" style="75" customWidth="1"/>
    <col min="3638" max="3846" width="2" style="75" customWidth="1"/>
    <col min="3847" max="3847" width="1.42578125" style="75" customWidth="1"/>
    <col min="3848" max="3863" width="2" style="75" customWidth="1"/>
    <col min="3864" max="3864" width="1.7109375" style="75" customWidth="1"/>
    <col min="3865" max="3865" width="1" style="75" customWidth="1"/>
    <col min="3866" max="3867" width="2" style="75" hidden="1" customWidth="1"/>
    <col min="3868" max="3872" width="1.7109375" style="75" customWidth="1"/>
    <col min="3873" max="3873" width="1.5703125" style="75" customWidth="1"/>
    <col min="3874" max="3876" width="1.7109375" style="75" customWidth="1"/>
    <col min="3877" max="3877" width="1.28515625" style="75" customWidth="1"/>
    <col min="3878" max="3880" width="2" style="75" customWidth="1"/>
    <col min="3881" max="3893" width="2.28515625" style="75" customWidth="1"/>
    <col min="3894" max="4102" width="2" style="75" customWidth="1"/>
    <col min="4103" max="4103" width="1.42578125" style="75" customWidth="1"/>
    <col min="4104" max="4119" width="2" style="75" customWidth="1"/>
    <col min="4120" max="4120" width="1.7109375" style="75" customWidth="1"/>
    <col min="4121" max="4121" width="1" style="75" customWidth="1"/>
    <col min="4122" max="4123" width="2" style="75" hidden="1" customWidth="1"/>
    <col min="4124" max="4128" width="1.7109375" style="75" customWidth="1"/>
    <col min="4129" max="4129" width="1.5703125" style="75" customWidth="1"/>
    <col min="4130" max="4132" width="1.7109375" style="75" customWidth="1"/>
    <col min="4133" max="4133" width="1.28515625" style="75" customWidth="1"/>
    <col min="4134" max="4136" width="2" style="75" customWidth="1"/>
    <col min="4137" max="4149" width="2.28515625" style="75" customWidth="1"/>
    <col min="4150" max="4358" width="2" style="75" customWidth="1"/>
    <col min="4359" max="4359" width="1.42578125" style="75" customWidth="1"/>
    <col min="4360" max="4375" width="2" style="75" customWidth="1"/>
    <col min="4376" max="4376" width="1.7109375" style="75" customWidth="1"/>
    <col min="4377" max="4377" width="1" style="75" customWidth="1"/>
    <col min="4378" max="4379" width="2" style="75" hidden="1" customWidth="1"/>
    <col min="4380" max="4384" width="1.7109375" style="75" customWidth="1"/>
    <col min="4385" max="4385" width="1.5703125" style="75" customWidth="1"/>
    <col min="4386" max="4388" width="1.7109375" style="75" customWidth="1"/>
    <col min="4389" max="4389" width="1.28515625" style="75" customWidth="1"/>
    <col min="4390" max="4392" width="2" style="75" customWidth="1"/>
    <col min="4393" max="4405" width="2.28515625" style="75" customWidth="1"/>
    <col min="4406" max="4614" width="2" style="75" customWidth="1"/>
    <col min="4615" max="4615" width="1.42578125" style="75" customWidth="1"/>
    <col min="4616" max="4631" width="2" style="75" customWidth="1"/>
    <col min="4632" max="4632" width="1.7109375" style="75" customWidth="1"/>
    <col min="4633" max="4633" width="1" style="75" customWidth="1"/>
    <col min="4634" max="4635" width="2" style="75" hidden="1" customWidth="1"/>
    <col min="4636" max="4640" width="1.7109375" style="75" customWidth="1"/>
    <col min="4641" max="4641" width="1.5703125" style="75" customWidth="1"/>
    <col min="4642" max="4644" width="1.7109375" style="75" customWidth="1"/>
    <col min="4645" max="4645" width="1.28515625" style="75" customWidth="1"/>
    <col min="4646" max="4648" width="2" style="75" customWidth="1"/>
    <col min="4649" max="4661" width="2.28515625" style="75" customWidth="1"/>
    <col min="4662" max="4870" width="2" style="75" customWidth="1"/>
    <col min="4871" max="4871" width="1.42578125" style="75" customWidth="1"/>
    <col min="4872" max="4887" width="2" style="75" customWidth="1"/>
    <col min="4888" max="4888" width="1.7109375" style="75" customWidth="1"/>
    <col min="4889" max="4889" width="1" style="75" customWidth="1"/>
    <col min="4890" max="4891" width="2" style="75" hidden="1" customWidth="1"/>
    <col min="4892" max="4896" width="1.7109375" style="75" customWidth="1"/>
    <col min="4897" max="4897" width="1.5703125" style="75" customWidth="1"/>
    <col min="4898" max="4900" width="1.7109375" style="75" customWidth="1"/>
    <col min="4901" max="4901" width="1.28515625" style="75" customWidth="1"/>
    <col min="4902" max="4904" width="2" style="75" customWidth="1"/>
    <col min="4905" max="4917" width="2.28515625" style="75" customWidth="1"/>
    <col min="4918" max="5126" width="2" style="75" customWidth="1"/>
    <col min="5127" max="5127" width="1.42578125" style="75" customWidth="1"/>
    <col min="5128" max="5143" width="2" style="75" customWidth="1"/>
    <col min="5144" max="5144" width="1.7109375" style="75" customWidth="1"/>
    <col min="5145" max="5145" width="1" style="75" customWidth="1"/>
    <col min="5146" max="5147" width="2" style="75" hidden="1" customWidth="1"/>
    <col min="5148" max="5152" width="1.7109375" style="75" customWidth="1"/>
    <col min="5153" max="5153" width="1.5703125" style="75" customWidth="1"/>
    <col min="5154" max="5156" width="1.7109375" style="75" customWidth="1"/>
    <col min="5157" max="5157" width="1.28515625" style="75" customWidth="1"/>
    <col min="5158" max="5160" width="2" style="75" customWidth="1"/>
    <col min="5161" max="5173" width="2.28515625" style="75" customWidth="1"/>
    <col min="5174" max="5382" width="2" style="75" customWidth="1"/>
    <col min="5383" max="5383" width="1.42578125" style="75" customWidth="1"/>
    <col min="5384" max="5399" width="2" style="75" customWidth="1"/>
    <col min="5400" max="5400" width="1.7109375" style="75" customWidth="1"/>
    <col min="5401" max="5401" width="1" style="75" customWidth="1"/>
    <col min="5402" max="5403" width="2" style="75" hidden="1" customWidth="1"/>
    <col min="5404" max="5408" width="1.7109375" style="75" customWidth="1"/>
    <col min="5409" max="5409" width="1.5703125" style="75" customWidth="1"/>
    <col min="5410" max="5412" width="1.7109375" style="75" customWidth="1"/>
    <col min="5413" max="5413" width="1.28515625" style="75" customWidth="1"/>
    <col min="5414" max="5416" width="2" style="75" customWidth="1"/>
    <col min="5417" max="5429" width="2.28515625" style="75" customWidth="1"/>
    <col min="5430" max="5638" width="2" style="75" customWidth="1"/>
    <col min="5639" max="5639" width="1.42578125" style="75" customWidth="1"/>
    <col min="5640" max="5655" width="2" style="75" customWidth="1"/>
    <col min="5656" max="5656" width="1.7109375" style="75" customWidth="1"/>
    <col min="5657" max="5657" width="1" style="75" customWidth="1"/>
    <col min="5658" max="5659" width="2" style="75" hidden="1" customWidth="1"/>
    <col min="5660" max="5664" width="1.7109375" style="75" customWidth="1"/>
    <col min="5665" max="5665" width="1.5703125" style="75" customWidth="1"/>
    <col min="5666" max="5668" width="1.7109375" style="75" customWidth="1"/>
    <col min="5669" max="5669" width="1.28515625" style="75" customWidth="1"/>
    <col min="5670" max="5672" width="2" style="75" customWidth="1"/>
    <col min="5673" max="5685" width="2.28515625" style="75" customWidth="1"/>
    <col min="5686" max="5894" width="2" style="75" customWidth="1"/>
    <col min="5895" max="5895" width="1.42578125" style="75" customWidth="1"/>
    <col min="5896" max="5911" width="2" style="75" customWidth="1"/>
    <col min="5912" max="5912" width="1.7109375" style="75" customWidth="1"/>
    <col min="5913" max="5913" width="1" style="75" customWidth="1"/>
    <col min="5914" max="5915" width="2" style="75" hidden="1" customWidth="1"/>
    <col min="5916" max="5920" width="1.7109375" style="75" customWidth="1"/>
    <col min="5921" max="5921" width="1.5703125" style="75" customWidth="1"/>
    <col min="5922" max="5924" width="1.7109375" style="75" customWidth="1"/>
    <col min="5925" max="5925" width="1.28515625" style="75" customWidth="1"/>
    <col min="5926" max="5928" width="2" style="75" customWidth="1"/>
    <col min="5929" max="5941" width="2.28515625" style="75" customWidth="1"/>
    <col min="5942" max="6150" width="2" style="75" customWidth="1"/>
    <col min="6151" max="6151" width="1.42578125" style="75" customWidth="1"/>
    <col min="6152" max="6167" width="2" style="75" customWidth="1"/>
    <col min="6168" max="6168" width="1.7109375" style="75" customWidth="1"/>
    <col min="6169" max="6169" width="1" style="75" customWidth="1"/>
    <col min="6170" max="6171" width="2" style="75" hidden="1" customWidth="1"/>
    <col min="6172" max="6176" width="1.7109375" style="75" customWidth="1"/>
    <col min="6177" max="6177" width="1.5703125" style="75" customWidth="1"/>
    <col min="6178" max="6180" width="1.7109375" style="75" customWidth="1"/>
    <col min="6181" max="6181" width="1.28515625" style="75" customWidth="1"/>
    <col min="6182" max="6184" width="2" style="75" customWidth="1"/>
    <col min="6185" max="6197" width="2.28515625" style="75" customWidth="1"/>
    <col min="6198" max="6406" width="2" style="75" customWidth="1"/>
    <col min="6407" max="6407" width="1.42578125" style="75" customWidth="1"/>
    <col min="6408" max="6423" width="2" style="75" customWidth="1"/>
    <col min="6424" max="6424" width="1.7109375" style="75" customWidth="1"/>
    <col min="6425" max="6425" width="1" style="75" customWidth="1"/>
    <col min="6426" max="6427" width="2" style="75" hidden="1" customWidth="1"/>
    <col min="6428" max="6432" width="1.7109375" style="75" customWidth="1"/>
    <col min="6433" max="6433" width="1.5703125" style="75" customWidth="1"/>
    <col min="6434" max="6436" width="1.7109375" style="75" customWidth="1"/>
    <col min="6437" max="6437" width="1.28515625" style="75" customWidth="1"/>
    <col min="6438" max="6440" width="2" style="75" customWidth="1"/>
    <col min="6441" max="6453" width="2.28515625" style="75" customWidth="1"/>
    <col min="6454" max="6662" width="2" style="75" customWidth="1"/>
    <col min="6663" max="6663" width="1.42578125" style="75" customWidth="1"/>
    <col min="6664" max="6679" width="2" style="75" customWidth="1"/>
    <col min="6680" max="6680" width="1.7109375" style="75" customWidth="1"/>
    <col min="6681" max="6681" width="1" style="75" customWidth="1"/>
    <col min="6682" max="6683" width="2" style="75" hidden="1" customWidth="1"/>
    <col min="6684" max="6688" width="1.7109375" style="75" customWidth="1"/>
    <col min="6689" max="6689" width="1.5703125" style="75" customWidth="1"/>
    <col min="6690" max="6692" width="1.7109375" style="75" customWidth="1"/>
    <col min="6693" max="6693" width="1.28515625" style="75" customWidth="1"/>
    <col min="6694" max="6696" width="2" style="75" customWidth="1"/>
    <col min="6697" max="6709" width="2.28515625" style="75" customWidth="1"/>
    <col min="6710" max="6918" width="2" style="75" customWidth="1"/>
    <col min="6919" max="6919" width="1.42578125" style="75" customWidth="1"/>
    <col min="6920" max="6935" width="2" style="75" customWidth="1"/>
    <col min="6936" max="6936" width="1.7109375" style="75" customWidth="1"/>
    <col min="6937" max="6937" width="1" style="75" customWidth="1"/>
    <col min="6938" max="6939" width="2" style="75" hidden="1" customWidth="1"/>
    <col min="6940" max="6944" width="1.7109375" style="75" customWidth="1"/>
    <col min="6945" max="6945" width="1.5703125" style="75" customWidth="1"/>
    <col min="6946" max="6948" width="1.7109375" style="75" customWidth="1"/>
    <col min="6949" max="6949" width="1.28515625" style="75" customWidth="1"/>
    <col min="6950" max="6952" width="2" style="75" customWidth="1"/>
    <col min="6953" max="6965" width="2.28515625" style="75" customWidth="1"/>
    <col min="6966" max="7174" width="2" style="75" customWidth="1"/>
    <col min="7175" max="7175" width="1.42578125" style="75" customWidth="1"/>
    <col min="7176" max="7191" width="2" style="75" customWidth="1"/>
    <col min="7192" max="7192" width="1.7109375" style="75" customWidth="1"/>
    <col min="7193" max="7193" width="1" style="75" customWidth="1"/>
    <col min="7194" max="7195" width="2" style="75" hidden="1" customWidth="1"/>
    <col min="7196" max="7200" width="1.7109375" style="75" customWidth="1"/>
    <col min="7201" max="7201" width="1.5703125" style="75" customWidth="1"/>
    <col min="7202" max="7204" width="1.7109375" style="75" customWidth="1"/>
    <col min="7205" max="7205" width="1.28515625" style="75" customWidth="1"/>
    <col min="7206" max="7208" width="2" style="75" customWidth="1"/>
    <col min="7209" max="7221" width="2.28515625" style="75" customWidth="1"/>
    <col min="7222" max="7430" width="2" style="75" customWidth="1"/>
    <col min="7431" max="7431" width="1.42578125" style="75" customWidth="1"/>
    <col min="7432" max="7447" width="2" style="75" customWidth="1"/>
    <col min="7448" max="7448" width="1.7109375" style="75" customWidth="1"/>
    <col min="7449" max="7449" width="1" style="75" customWidth="1"/>
    <col min="7450" max="7451" width="2" style="75" hidden="1" customWidth="1"/>
    <col min="7452" max="7456" width="1.7109375" style="75" customWidth="1"/>
    <col min="7457" max="7457" width="1.5703125" style="75" customWidth="1"/>
    <col min="7458" max="7460" width="1.7109375" style="75" customWidth="1"/>
    <col min="7461" max="7461" width="1.28515625" style="75" customWidth="1"/>
    <col min="7462" max="7464" width="2" style="75" customWidth="1"/>
    <col min="7465" max="7477" width="2.28515625" style="75" customWidth="1"/>
    <col min="7478" max="7686" width="2" style="75" customWidth="1"/>
    <col min="7687" max="7687" width="1.42578125" style="75" customWidth="1"/>
    <col min="7688" max="7703" width="2" style="75" customWidth="1"/>
    <col min="7704" max="7704" width="1.7109375" style="75" customWidth="1"/>
    <col min="7705" max="7705" width="1" style="75" customWidth="1"/>
    <col min="7706" max="7707" width="2" style="75" hidden="1" customWidth="1"/>
    <col min="7708" max="7712" width="1.7109375" style="75" customWidth="1"/>
    <col min="7713" max="7713" width="1.5703125" style="75" customWidth="1"/>
    <col min="7714" max="7716" width="1.7109375" style="75" customWidth="1"/>
    <col min="7717" max="7717" width="1.28515625" style="75" customWidth="1"/>
    <col min="7718" max="7720" width="2" style="75" customWidth="1"/>
    <col min="7721" max="7733" width="2.28515625" style="75" customWidth="1"/>
    <col min="7734" max="7942" width="2" style="75" customWidth="1"/>
    <col min="7943" max="7943" width="1.42578125" style="75" customWidth="1"/>
    <col min="7944" max="7959" width="2" style="75" customWidth="1"/>
    <col min="7960" max="7960" width="1.7109375" style="75" customWidth="1"/>
    <col min="7961" max="7961" width="1" style="75" customWidth="1"/>
    <col min="7962" max="7963" width="2" style="75" hidden="1" customWidth="1"/>
    <col min="7964" max="7968" width="1.7109375" style="75" customWidth="1"/>
    <col min="7969" max="7969" width="1.5703125" style="75" customWidth="1"/>
    <col min="7970" max="7972" width="1.7109375" style="75" customWidth="1"/>
    <col min="7973" max="7973" width="1.28515625" style="75" customWidth="1"/>
    <col min="7974" max="7976" width="2" style="75" customWidth="1"/>
    <col min="7977" max="7989" width="2.28515625" style="75" customWidth="1"/>
    <col min="7990" max="8198" width="2" style="75" customWidth="1"/>
    <col min="8199" max="8199" width="1.42578125" style="75" customWidth="1"/>
    <col min="8200" max="8215" width="2" style="75" customWidth="1"/>
    <col min="8216" max="8216" width="1.7109375" style="75" customWidth="1"/>
    <col min="8217" max="8217" width="1" style="75" customWidth="1"/>
    <col min="8218" max="8219" width="2" style="75" hidden="1" customWidth="1"/>
    <col min="8220" max="8224" width="1.7109375" style="75" customWidth="1"/>
    <col min="8225" max="8225" width="1.5703125" style="75" customWidth="1"/>
    <col min="8226" max="8228" width="1.7109375" style="75" customWidth="1"/>
    <col min="8229" max="8229" width="1.28515625" style="75" customWidth="1"/>
    <col min="8230" max="8232" width="2" style="75" customWidth="1"/>
    <col min="8233" max="8245" width="2.28515625" style="75" customWidth="1"/>
    <col min="8246" max="8454" width="2" style="75" customWidth="1"/>
    <col min="8455" max="8455" width="1.42578125" style="75" customWidth="1"/>
    <col min="8456" max="8471" width="2" style="75" customWidth="1"/>
    <col min="8472" max="8472" width="1.7109375" style="75" customWidth="1"/>
    <col min="8473" max="8473" width="1" style="75" customWidth="1"/>
    <col min="8474" max="8475" width="2" style="75" hidden="1" customWidth="1"/>
    <col min="8476" max="8480" width="1.7109375" style="75" customWidth="1"/>
    <col min="8481" max="8481" width="1.5703125" style="75" customWidth="1"/>
    <col min="8482" max="8484" width="1.7109375" style="75" customWidth="1"/>
    <col min="8485" max="8485" width="1.28515625" style="75" customWidth="1"/>
    <col min="8486" max="8488" width="2" style="75" customWidth="1"/>
    <col min="8489" max="8501" width="2.28515625" style="75" customWidth="1"/>
    <col min="8502" max="8710" width="2" style="75" customWidth="1"/>
    <col min="8711" max="8711" width="1.42578125" style="75" customWidth="1"/>
    <col min="8712" max="8727" width="2" style="75" customWidth="1"/>
    <col min="8728" max="8728" width="1.7109375" style="75" customWidth="1"/>
    <col min="8729" max="8729" width="1" style="75" customWidth="1"/>
    <col min="8730" max="8731" width="2" style="75" hidden="1" customWidth="1"/>
    <col min="8732" max="8736" width="1.7109375" style="75" customWidth="1"/>
    <col min="8737" max="8737" width="1.5703125" style="75" customWidth="1"/>
    <col min="8738" max="8740" width="1.7109375" style="75" customWidth="1"/>
    <col min="8741" max="8741" width="1.28515625" style="75" customWidth="1"/>
    <col min="8742" max="8744" width="2" style="75" customWidth="1"/>
    <col min="8745" max="8757" width="2.28515625" style="75" customWidth="1"/>
    <col min="8758" max="8966" width="2" style="75" customWidth="1"/>
    <col min="8967" max="8967" width="1.42578125" style="75" customWidth="1"/>
    <col min="8968" max="8983" width="2" style="75" customWidth="1"/>
    <col min="8984" max="8984" width="1.7109375" style="75" customWidth="1"/>
    <col min="8985" max="8985" width="1" style="75" customWidth="1"/>
    <col min="8986" max="8987" width="2" style="75" hidden="1" customWidth="1"/>
    <col min="8988" max="8992" width="1.7109375" style="75" customWidth="1"/>
    <col min="8993" max="8993" width="1.5703125" style="75" customWidth="1"/>
    <col min="8994" max="8996" width="1.7109375" style="75" customWidth="1"/>
    <col min="8997" max="8997" width="1.28515625" style="75" customWidth="1"/>
    <col min="8998" max="9000" width="2" style="75" customWidth="1"/>
    <col min="9001" max="9013" width="2.28515625" style="75" customWidth="1"/>
    <col min="9014" max="9222" width="2" style="75" customWidth="1"/>
    <col min="9223" max="9223" width="1.42578125" style="75" customWidth="1"/>
    <col min="9224" max="9239" width="2" style="75" customWidth="1"/>
    <col min="9240" max="9240" width="1.7109375" style="75" customWidth="1"/>
    <col min="9241" max="9241" width="1" style="75" customWidth="1"/>
    <col min="9242" max="9243" width="2" style="75" hidden="1" customWidth="1"/>
    <col min="9244" max="9248" width="1.7109375" style="75" customWidth="1"/>
    <col min="9249" max="9249" width="1.5703125" style="75" customWidth="1"/>
    <col min="9250" max="9252" width="1.7109375" style="75" customWidth="1"/>
    <col min="9253" max="9253" width="1.28515625" style="75" customWidth="1"/>
    <col min="9254" max="9256" width="2" style="75" customWidth="1"/>
    <col min="9257" max="9269" width="2.28515625" style="75" customWidth="1"/>
    <col min="9270" max="9478" width="2" style="75" customWidth="1"/>
    <col min="9479" max="9479" width="1.42578125" style="75" customWidth="1"/>
    <col min="9480" max="9495" width="2" style="75" customWidth="1"/>
    <col min="9496" max="9496" width="1.7109375" style="75" customWidth="1"/>
    <col min="9497" max="9497" width="1" style="75" customWidth="1"/>
    <col min="9498" max="9499" width="2" style="75" hidden="1" customWidth="1"/>
    <col min="9500" max="9504" width="1.7109375" style="75" customWidth="1"/>
    <col min="9505" max="9505" width="1.5703125" style="75" customWidth="1"/>
    <col min="9506" max="9508" width="1.7109375" style="75" customWidth="1"/>
    <col min="9509" max="9509" width="1.28515625" style="75" customWidth="1"/>
    <col min="9510" max="9512" width="2" style="75" customWidth="1"/>
    <col min="9513" max="9525" width="2.28515625" style="75" customWidth="1"/>
    <col min="9526" max="9734" width="2" style="75" customWidth="1"/>
    <col min="9735" max="9735" width="1.42578125" style="75" customWidth="1"/>
    <col min="9736" max="9751" width="2" style="75" customWidth="1"/>
    <col min="9752" max="9752" width="1.7109375" style="75" customWidth="1"/>
    <col min="9753" max="9753" width="1" style="75" customWidth="1"/>
    <col min="9754" max="9755" width="2" style="75" hidden="1" customWidth="1"/>
    <col min="9756" max="9760" width="1.7109375" style="75" customWidth="1"/>
    <col min="9761" max="9761" width="1.5703125" style="75" customWidth="1"/>
    <col min="9762" max="9764" width="1.7109375" style="75" customWidth="1"/>
    <col min="9765" max="9765" width="1.28515625" style="75" customWidth="1"/>
    <col min="9766" max="9768" width="2" style="75" customWidth="1"/>
    <col min="9769" max="9781" width="2.28515625" style="75" customWidth="1"/>
    <col min="9782" max="9990" width="2" style="75" customWidth="1"/>
    <col min="9991" max="9991" width="1.42578125" style="75" customWidth="1"/>
    <col min="9992" max="10007" width="2" style="75" customWidth="1"/>
    <col min="10008" max="10008" width="1.7109375" style="75" customWidth="1"/>
    <col min="10009" max="10009" width="1" style="75" customWidth="1"/>
    <col min="10010" max="10011" width="2" style="75" hidden="1" customWidth="1"/>
    <col min="10012" max="10016" width="1.7109375" style="75" customWidth="1"/>
    <col min="10017" max="10017" width="1.5703125" style="75" customWidth="1"/>
    <col min="10018" max="10020" width="1.7109375" style="75" customWidth="1"/>
    <col min="10021" max="10021" width="1.28515625" style="75" customWidth="1"/>
    <col min="10022" max="10024" width="2" style="75" customWidth="1"/>
    <col min="10025" max="10037" width="2.28515625" style="75" customWidth="1"/>
    <col min="10038" max="10246" width="2" style="75" customWidth="1"/>
    <col min="10247" max="10247" width="1.42578125" style="75" customWidth="1"/>
    <col min="10248" max="10263" width="2" style="75" customWidth="1"/>
    <col min="10264" max="10264" width="1.7109375" style="75" customWidth="1"/>
    <col min="10265" max="10265" width="1" style="75" customWidth="1"/>
    <col min="10266" max="10267" width="2" style="75" hidden="1" customWidth="1"/>
    <col min="10268" max="10272" width="1.7109375" style="75" customWidth="1"/>
    <col min="10273" max="10273" width="1.5703125" style="75" customWidth="1"/>
    <col min="10274" max="10276" width="1.7109375" style="75" customWidth="1"/>
    <col min="10277" max="10277" width="1.28515625" style="75" customWidth="1"/>
    <col min="10278" max="10280" width="2" style="75" customWidth="1"/>
    <col min="10281" max="10293" width="2.28515625" style="75" customWidth="1"/>
    <col min="10294" max="10502" width="2" style="75" customWidth="1"/>
    <col min="10503" max="10503" width="1.42578125" style="75" customWidth="1"/>
    <col min="10504" max="10519" width="2" style="75" customWidth="1"/>
    <col min="10520" max="10520" width="1.7109375" style="75" customWidth="1"/>
    <col min="10521" max="10521" width="1" style="75" customWidth="1"/>
    <col min="10522" max="10523" width="2" style="75" hidden="1" customWidth="1"/>
    <col min="10524" max="10528" width="1.7109375" style="75" customWidth="1"/>
    <col min="10529" max="10529" width="1.5703125" style="75" customWidth="1"/>
    <col min="10530" max="10532" width="1.7109375" style="75" customWidth="1"/>
    <col min="10533" max="10533" width="1.28515625" style="75" customWidth="1"/>
    <col min="10534" max="10536" width="2" style="75" customWidth="1"/>
    <col min="10537" max="10549" width="2.28515625" style="75" customWidth="1"/>
    <col min="10550" max="10758" width="2" style="75" customWidth="1"/>
    <col min="10759" max="10759" width="1.42578125" style="75" customWidth="1"/>
    <col min="10760" max="10775" width="2" style="75" customWidth="1"/>
    <col min="10776" max="10776" width="1.7109375" style="75" customWidth="1"/>
    <col min="10777" max="10777" width="1" style="75" customWidth="1"/>
    <col min="10778" max="10779" width="2" style="75" hidden="1" customWidth="1"/>
    <col min="10780" max="10784" width="1.7109375" style="75" customWidth="1"/>
    <col min="10785" max="10785" width="1.5703125" style="75" customWidth="1"/>
    <col min="10786" max="10788" width="1.7109375" style="75" customWidth="1"/>
    <col min="10789" max="10789" width="1.28515625" style="75" customWidth="1"/>
    <col min="10790" max="10792" width="2" style="75" customWidth="1"/>
    <col min="10793" max="10805" width="2.28515625" style="75" customWidth="1"/>
    <col min="10806" max="11014" width="2" style="75" customWidth="1"/>
    <col min="11015" max="11015" width="1.42578125" style="75" customWidth="1"/>
    <col min="11016" max="11031" width="2" style="75" customWidth="1"/>
    <col min="11032" max="11032" width="1.7109375" style="75" customWidth="1"/>
    <col min="11033" max="11033" width="1" style="75" customWidth="1"/>
    <col min="11034" max="11035" width="2" style="75" hidden="1" customWidth="1"/>
    <col min="11036" max="11040" width="1.7109375" style="75" customWidth="1"/>
    <col min="11041" max="11041" width="1.5703125" style="75" customWidth="1"/>
    <col min="11042" max="11044" width="1.7109375" style="75" customWidth="1"/>
    <col min="11045" max="11045" width="1.28515625" style="75" customWidth="1"/>
    <col min="11046" max="11048" width="2" style="75" customWidth="1"/>
    <col min="11049" max="11061" width="2.28515625" style="75" customWidth="1"/>
    <col min="11062" max="11270" width="2" style="75" customWidth="1"/>
    <col min="11271" max="11271" width="1.42578125" style="75" customWidth="1"/>
    <col min="11272" max="11287" width="2" style="75" customWidth="1"/>
    <col min="11288" max="11288" width="1.7109375" style="75" customWidth="1"/>
    <col min="11289" max="11289" width="1" style="75" customWidth="1"/>
    <col min="11290" max="11291" width="2" style="75" hidden="1" customWidth="1"/>
    <col min="11292" max="11296" width="1.7109375" style="75" customWidth="1"/>
    <col min="11297" max="11297" width="1.5703125" style="75" customWidth="1"/>
    <col min="11298" max="11300" width="1.7109375" style="75" customWidth="1"/>
    <col min="11301" max="11301" width="1.28515625" style="75" customWidth="1"/>
    <col min="11302" max="11304" width="2" style="75" customWidth="1"/>
    <col min="11305" max="11317" width="2.28515625" style="75" customWidth="1"/>
    <col min="11318" max="11526" width="2" style="75" customWidth="1"/>
    <col min="11527" max="11527" width="1.42578125" style="75" customWidth="1"/>
    <col min="11528" max="11543" width="2" style="75" customWidth="1"/>
    <col min="11544" max="11544" width="1.7109375" style="75" customWidth="1"/>
    <col min="11545" max="11545" width="1" style="75" customWidth="1"/>
    <col min="11546" max="11547" width="2" style="75" hidden="1" customWidth="1"/>
    <col min="11548" max="11552" width="1.7109375" style="75" customWidth="1"/>
    <col min="11553" max="11553" width="1.5703125" style="75" customWidth="1"/>
    <col min="11554" max="11556" width="1.7109375" style="75" customWidth="1"/>
    <col min="11557" max="11557" width="1.28515625" style="75" customWidth="1"/>
    <col min="11558" max="11560" width="2" style="75" customWidth="1"/>
    <col min="11561" max="11573" width="2.28515625" style="75" customWidth="1"/>
    <col min="11574" max="11782" width="2" style="75" customWidth="1"/>
    <col min="11783" max="11783" width="1.42578125" style="75" customWidth="1"/>
    <col min="11784" max="11799" width="2" style="75" customWidth="1"/>
    <col min="11800" max="11800" width="1.7109375" style="75" customWidth="1"/>
    <col min="11801" max="11801" width="1" style="75" customWidth="1"/>
    <col min="11802" max="11803" width="2" style="75" hidden="1" customWidth="1"/>
    <col min="11804" max="11808" width="1.7109375" style="75" customWidth="1"/>
    <col min="11809" max="11809" width="1.5703125" style="75" customWidth="1"/>
    <col min="11810" max="11812" width="1.7109375" style="75" customWidth="1"/>
    <col min="11813" max="11813" width="1.28515625" style="75" customWidth="1"/>
    <col min="11814" max="11816" width="2" style="75" customWidth="1"/>
    <col min="11817" max="11829" width="2.28515625" style="75" customWidth="1"/>
    <col min="11830" max="12038" width="2" style="75" customWidth="1"/>
    <col min="12039" max="12039" width="1.42578125" style="75" customWidth="1"/>
    <col min="12040" max="12055" width="2" style="75" customWidth="1"/>
    <col min="12056" max="12056" width="1.7109375" style="75" customWidth="1"/>
    <col min="12057" max="12057" width="1" style="75" customWidth="1"/>
    <col min="12058" max="12059" width="2" style="75" hidden="1" customWidth="1"/>
    <col min="12060" max="12064" width="1.7109375" style="75" customWidth="1"/>
    <col min="12065" max="12065" width="1.5703125" style="75" customWidth="1"/>
    <col min="12066" max="12068" width="1.7109375" style="75" customWidth="1"/>
    <col min="12069" max="12069" width="1.28515625" style="75" customWidth="1"/>
    <col min="12070" max="12072" width="2" style="75" customWidth="1"/>
    <col min="12073" max="12085" width="2.28515625" style="75" customWidth="1"/>
    <col min="12086" max="12294" width="2" style="75" customWidth="1"/>
    <col min="12295" max="12295" width="1.42578125" style="75" customWidth="1"/>
    <col min="12296" max="12311" width="2" style="75" customWidth="1"/>
    <col min="12312" max="12312" width="1.7109375" style="75" customWidth="1"/>
    <col min="12313" max="12313" width="1" style="75" customWidth="1"/>
    <col min="12314" max="12315" width="2" style="75" hidden="1" customWidth="1"/>
    <col min="12316" max="12320" width="1.7109375" style="75" customWidth="1"/>
    <col min="12321" max="12321" width="1.5703125" style="75" customWidth="1"/>
    <col min="12322" max="12324" width="1.7109375" style="75" customWidth="1"/>
    <col min="12325" max="12325" width="1.28515625" style="75" customWidth="1"/>
    <col min="12326" max="12328" width="2" style="75" customWidth="1"/>
    <col min="12329" max="12341" width="2.28515625" style="75" customWidth="1"/>
    <col min="12342" max="12550" width="2" style="75" customWidth="1"/>
    <col min="12551" max="12551" width="1.42578125" style="75" customWidth="1"/>
    <col min="12552" max="12567" width="2" style="75" customWidth="1"/>
    <col min="12568" max="12568" width="1.7109375" style="75" customWidth="1"/>
    <col min="12569" max="12569" width="1" style="75" customWidth="1"/>
    <col min="12570" max="12571" width="2" style="75" hidden="1" customWidth="1"/>
    <col min="12572" max="12576" width="1.7109375" style="75" customWidth="1"/>
    <col min="12577" max="12577" width="1.5703125" style="75" customWidth="1"/>
    <col min="12578" max="12580" width="1.7109375" style="75" customWidth="1"/>
    <col min="12581" max="12581" width="1.28515625" style="75" customWidth="1"/>
    <col min="12582" max="12584" width="2" style="75" customWidth="1"/>
    <col min="12585" max="12597" width="2.28515625" style="75" customWidth="1"/>
    <col min="12598" max="12806" width="2" style="75" customWidth="1"/>
    <col min="12807" max="12807" width="1.42578125" style="75" customWidth="1"/>
    <col min="12808" max="12823" width="2" style="75" customWidth="1"/>
    <col min="12824" max="12824" width="1.7109375" style="75" customWidth="1"/>
    <col min="12825" max="12825" width="1" style="75" customWidth="1"/>
    <col min="12826" max="12827" width="2" style="75" hidden="1" customWidth="1"/>
    <col min="12828" max="12832" width="1.7109375" style="75" customWidth="1"/>
    <col min="12833" max="12833" width="1.5703125" style="75" customWidth="1"/>
    <col min="12834" max="12836" width="1.7109375" style="75" customWidth="1"/>
    <col min="12837" max="12837" width="1.28515625" style="75" customWidth="1"/>
    <col min="12838" max="12840" width="2" style="75" customWidth="1"/>
    <col min="12841" max="12853" width="2.28515625" style="75" customWidth="1"/>
    <col min="12854" max="13062" width="2" style="75" customWidth="1"/>
    <col min="13063" max="13063" width="1.42578125" style="75" customWidth="1"/>
    <col min="13064" max="13079" width="2" style="75" customWidth="1"/>
    <col min="13080" max="13080" width="1.7109375" style="75" customWidth="1"/>
    <col min="13081" max="13081" width="1" style="75" customWidth="1"/>
    <col min="13082" max="13083" width="2" style="75" hidden="1" customWidth="1"/>
    <col min="13084" max="13088" width="1.7109375" style="75" customWidth="1"/>
    <col min="13089" max="13089" width="1.5703125" style="75" customWidth="1"/>
    <col min="13090" max="13092" width="1.7109375" style="75" customWidth="1"/>
    <col min="13093" max="13093" width="1.28515625" style="75" customWidth="1"/>
    <col min="13094" max="13096" width="2" style="75" customWidth="1"/>
    <col min="13097" max="13109" width="2.28515625" style="75" customWidth="1"/>
    <col min="13110" max="13318" width="2" style="75" customWidth="1"/>
    <col min="13319" max="13319" width="1.42578125" style="75" customWidth="1"/>
    <col min="13320" max="13335" width="2" style="75" customWidth="1"/>
    <col min="13336" max="13336" width="1.7109375" style="75" customWidth="1"/>
    <col min="13337" max="13337" width="1" style="75" customWidth="1"/>
    <col min="13338" max="13339" width="2" style="75" hidden="1" customWidth="1"/>
    <col min="13340" max="13344" width="1.7109375" style="75" customWidth="1"/>
    <col min="13345" max="13345" width="1.5703125" style="75" customWidth="1"/>
    <col min="13346" max="13348" width="1.7109375" style="75" customWidth="1"/>
    <col min="13349" max="13349" width="1.28515625" style="75" customWidth="1"/>
    <col min="13350" max="13352" width="2" style="75" customWidth="1"/>
    <col min="13353" max="13365" width="2.28515625" style="75" customWidth="1"/>
    <col min="13366" max="13574" width="2" style="75" customWidth="1"/>
    <col min="13575" max="13575" width="1.42578125" style="75" customWidth="1"/>
    <col min="13576" max="13591" width="2" style="75" customWidth="1"/>
    <col min="13592" max="13592" width="1.7109375" style="75" customWidth="1"/>
    <col min="13593" max="13593" width="1" style="75" customWidth="1"/>
    <col min="13594" max="13595" width="2" style="75" hidden="1" customWidth="1"/>
    <col min="13596" max="13600" width="1.7109375" style="75" customWidth="1"/>
    <col min="13601" max="13601" width="1.5703125" style="75" customWidth="1"/>
    <col min="13602" max="13604" width="1.7109375" style="75" customWidth="1"/>
    <col min="13605" max="13605" width="1.28515625" style="75" customWidth="1"/>
    <col min="13606" max="13608" width="2" style="75" customWidth="1"/>
    <col min="13609" max="13621" width="2.28515625" style="75" customWidth="1"/>
    <col min="13622" max="13830" width="2" style="75" customWidth="1"/>
    <col min="13831" max="13831" width="1.42578125" style="75" customWidth="1"/>
    <col min="13832" max="13847" width="2" style="75" customWidth="1"/>
    <col min="13848" max="13848" width="1.7109375" style="75" customWidth="1"/>
    <col min="13849" max="13849" width="1" style="75" customWidth="1"/>
    <col min="13850" max="13851" width="2" style="75" hidden="1" customWidth="1"/>
    <col min="13852" max="13856" width="1.7109375" style="75" customWidth="1"/>
    <col min="13857" max="13857" width="1.5703125" style="75" customWidth="1"/>
    <col min="13858" max="13860" width="1.7109375" style="75" customWidth="1"/>
    <col min="13861" max="13861" width="1.28515625" style="75" customWidth="1"/>
    <col min="13862" max="13864" width="2" style="75" customWidth="1"/>
    <col min="13865" max="13877" width="2.28515625" style="75" customWidth="1"/>
    <col min="13878" max="14086" width="2" style="75" customWidth="1"/>
    <col min="14087" max="14087" width="1.42578125" style="75" customWidth="1"/>
    <col min="14088" max="14103" width="2" style="75" customWidth="1"/>
    <col min="14104" max="14104" width="1.7109375" style="75" customWidth="1"/>
    <col min="14105" max="14105" width="1" style="75" customWidth="1"/>
    <col min="14106" max="14107" width="2" style="75" hidden="1" customWidth="1"/>
    <col min="14108" max="14112" width="1.7109375" style="75" customWidth="1"/>
    <col min="14113" max="14113" width="1.5703125" style="75" customWidth="1"/>
    <col min="14114" max="14116" width="1.7109375" style="75" customWidth="1"/>
    <col min="14117" max="14117" width="1.28515625" style="75" customWidth="1"/>
    <col min="14118" max="14120" width="2" style="75" customWidth="1"/>
    <col min="14121" max="14133" width="2.28515625" style="75" customWidth="1"/>
    <col min="14134" max="14342" width="2" style="75" customWidth="1"/>
    <col min="14343" max="14343" width="1.42578125" style="75" customWidth="1"/>
    <col min="14344" max="14359" width="2" style="75" customWidth="1"/>
    <col min="14360" max="14360" width="1.7109375" style="75" customWidth="1"/>
    <col min="14361" max="14361" width="1" style="75" customWidth="1"/>
    <col min="14362" max="14363" width="2" style="75" hidden="1" customWidth="1"/>
    <col min="14364" max="14368" width="1.7109375" style="75" customWidth="1"/>
    <col min="14369" max="14369" width="1.5703125" style="75" customWidth="1"/>
    <col min="14370" max="14372" width="1.7109375" style="75" customWidth="1"/>
    <col min="14373" max="14373" width="1.28515625" style="75" customWidth="1"/>
    <col min="14374" max="14376" width="2" style="75" customWidth="1"/>
    <col min="14377" max="14389" width="2.28515625" style="75" customWidth="1"/>
    <col min="14390" max="14598" width="2" style="75" customWidth="1"/>
    <col min="14599" max="14599" width="1.42578125" style="75" customWidth="1"/>
    <col min="14600" max="14615" width="2" style="75" customWidth="1"/>
    <col min="14616" max="14616" width="1.7109375" style="75" customWidth="1"/>
    <col min="14617" max="14617" width="1" style="75" customWidth="1"/>
    <col min="14618" max="14619" width="2" style="75" hidden="1" customWidth="1"/>
    <col min="14620" max="14624" width="1.7109375" style="75" customWidth="1"/>
    <col min="14625" max="14625" width="1.5703125" style="75" customWidth="1"/>
    <col min="14626" max="14628" width="1.7109375" style="75" customWidth="1"/>
    <col min="14629" max="14629" width="1.28515625" style="75" customWidth="1"/>
    <col min="14630" max="14632" width="2" style="75" customWidth="1"/>
    <col min="14633" max="14645" width="2.28515625" style="75" customWidth="1"/>
    <col min="14646" max="14854" width="2" style="75" customWidth="1"/>
    <col min="14855" max="14855" width="1.42578125" style="75" customWidth="1"/>
    <col min="14856" max="14871" width="2" style="75" customWidth="1"/>
    <col min="14872" max="14872" width="1.7109375" style="75" customWidth="1"/>
    <col min="14873" max="14873" width="1" style="75" customWidth="1"/>
    <col min="14874" max="14875" width="2" style="75" hidden="1" customWidth="1"/>
    <col min="14876" max="14880" width="1.7109375" style="75" customWidth="1"/>
    <col min="14881" max="14881" width="1.5703125" style="75" customWidth="1"/>
    <col min="14882" max="14884" width="1.7109375" style="75" customWidth="1"/>
    <col min="14885" max="14885" width="1.28515625" style="75" customWidth="1"/>
    <col min="14886" max="14888" width="2" style="75" customWidth="1"/>
    <col min="14889" max="14901" width="2.28515625" style="75" customWidth="1"/>
    <col min="14902" max="15110" width="2" style="75" customWidth="1"/>
    <col min="15111" max="15111" width="1.42578125" style="75" customWidth="1"/>
    <col min="15112" max="15127" width="2" style="75" customWidth="1"/>
    <col min="15128" max="15128" width="1.7109375" style="75" customWidth="1"/>
    <col min="15129" max="15129" width="1" style="75" customWidth="1"/>
    <col min="15130" max="15131" width="2" style="75" hidden="1" customWidth="1"/>
    <col min="15132" max="15136" width="1.7109375" style="75" customWidth="1"/>
    <col min="15137" max="15137" width="1.5703125" style="75" customWidth="1"/>
    <col min="15138" max="15140" width="1.7109375" style="75" customWidth="1"/>
    <col min="15141" max="15141" width="1.28515625" style="75" customWidth="1"/>
    <col min="15142" max="15144" width="2" style="75" customWidth="1"/>
    <col min="15145" max="15157" width="2.28515625" style="75" customWidth="1"/>
    <col min="15158" max="15366" width="2" style="75" customWidth="1"/>
    <col min="15367" max="15367" width="1.42578125" style="75" customWidth="1"/>
    <col min="15368" max="15383" width="2" style="75" customWidth="1"/>
    <col min="15384" max="15384" width="1.7109375" style="75" customWidth="1"/>
    <col min="15385" max="15385" width="1" style="75" customWidth="1"/>
    <col min="15386" max="15387" width="2" style="75" hidden="1" customWidth="1"/>
    <col min="15388" max="15392" width="1.7109375" style="75" customWidth="1"/>
    <col min="15393" max="15393" width="1.5703125" style="75" customWidth="1"/>
    <col min="15394" max="15396" width="1.7109375" style="75" customWidth="1"/>
    <col min="15397" max="15397" width="1.28515625" style="75" customWidth="1"/>
    <col min="15398" max="15400" width="2" style="75" customWidth="1"/>
    <col min="15401" max="15413" width="2.28515625" style="75" customWidth="1"/>
    <col min="15414" max="15622" width="2" style="75" customWidth="1"/>
    <col min="15623" max="15623" width="1.42578125" style="75" customWidth="1"/>
    <col min="15624" max="15639" width="2" style="75" customWidth="1"/>
    <col min="15640" max="15640" width="1.7109375" style="75" customWidth="1"/>
    <col min="15641" max="15641" width="1" style="75" customWidth="1"/>
    <col min="15642" max="15643" width="2" style="75" hidden="1" customWidth="1"/>
    <col min="15644" max="15648" width="1.7109375" style="75" customWidth="1"/>
    <col min="15649" max="15649" width="1.5703125" style="75" customWidth="1"/>
    <col min="15650" max="15652" width="1.7109375" style="75" customWidth="1"/>
    <col min="15653" max="15653" width="1.28515625" style="75" customWidth="1"/>
    <col min="15654" max="15656" width="2" style="75" customWidth="1"/>
    <col min="15657" max="15669" width="2.28515625" style="75" customWidth="1"/>
    <col min="15670" max="15878" width="2" style="75" customWidth="1"/>
    <col min="15879" max="15879" width="1.42578125" style="75" customWidth="1"/>
    <col min="15880" max="15895" width="2" style="75" customWidth="1"/>
    <col min="15896" max="15896" width="1.7109375" style="75" customWidth="1"/>
    <col min="15897" max="15897" width="1" style="75" customWidth="1"/>
    <col min="15898" max="15899" width="2" style="75" hidden="1" customWidth="1"/>
    <col min="15900" max="15904" width="1.7109375" style="75" customWidth="1"/>
    <col min="15905" max="15905" width="1.5703125" style="75" customWidth="1"/>
    <col min="15906" max="15908" width="1.7109375" style="75" customWidth="1"/>
    <col min="15909" max="15909" width="1.28515625" style="75" customWidth="1"/>
    <col min="15910" max="15912" width="2" style="75" customWidth="1"/>
    <col min="15913" max="15925" width="2.28515625" style="75" customWidth="1"/>
    <col min="15926" max="16134" width="2" style="75" customWidth="1"/>
    <col min="16135" max="16135" width="1.42578125" style="75" customWidth="1"/>
    <col min="16136" max="16151" width="2" style="75" customWidth="1"/>
    <col min="16152" max="16152" width="1.7109375" style="75" customWidth="1"/>
    <col min="16153" max="16153" width="1" style="75" customWidth="1"/>
    <col min="16154" max="16155" width="2" style="75" hidden="1" customWidth="1"/>
    <col min="16156" max="16160" width="1.7109375" style="75" customWidth="1"/>
    <col min="16161" max="16161" width="1.5703125" style="75" customWidth="1"/>
    <col min="16162" max="16164" width="1.7109375" style="75" customWidth="1"/>
    <col min="16165" max="16165" width="1.28515625" style="75" customWidth="1"/>
    <col min="16166" max="16168" width="2" style="75" customWidth="1"/>
    <col min="16169" max="16181" width="2.28515625" style="75" customWidth="1"/>
    <col min="16182" max="16384" width="2" style="75" customWidth="1"/>
  </cols>
  <sheetData>
    <row r="1" spans="3:57" ht="16.5" customHeight="1">
      <c r="C1" s="268"/>
      <c r="D1" s="268"/>
      <c r="E1" s="268"/>
      <c r="F1" s="268"/>
      <c r="G1" s="1143" t="s">
        <v>2409</v>
      </c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819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820"/>
      <c r="AN1" s="821"/>
      <c r="AO1" s="821"/>
      <c r="AP1" s="821"/>
      <c r="AQ1" s="822"/>
      <c r="AR1" s="822"/>
      <c r="AS1" s="822"/>
      <c r="AT1" s="822"/>
      <c r="AU1" s="822"/>
      <c r="AV1" s="822"/>
      <c r="AW1" s="822"/>
      <c r="AX1" s="822"/>
      <c r="AY1" s="822"/>
      <c r="AZ1" s="822"/>
      <c r="BA1" s="822"/>
      <c r="BB1" s="822"/>
      <c r="BC1" s="822" t="s">
        <v>2410</v>
      </c>
      <c r="BE1" s="1135" t="str">
        <f>CONCATENATE("*",'#Konverter'!AD21,'INV01-1'!B61,'INV01-2'!E83,'INV01-2'!F83,'INV01-2'!G83,'INV01-2'!H83,"*")</f>
        <v>*29*</v>
      </c>
    </row>
    <row r="2" spans="3:57" ht="15" customHeight="1">
      <c r="C2" s="268"/>
      <c r="D2" s="268"/>
      <c r="E2" s="268"/>
      <c r="F2" s="268"/>
      <c r="G2" s="1143" t="s">
        <v>2411</v>
      </c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  <c r="T2" s="1143"/>
      <c r="U2" s="1143"/>
      <c r="V2" s="1143"/>
      <c r="W2" s="1143"/>
      <c r="X2" s="1143"/>
      <c r="Y2" s="1143"/>
      <c r="Z2" s="1143"/>
      <c r="AA2" s="819"/>
      <c r="AB2" s="268"/>
      <c r="AC2" s="268"/>
      <c r="AD2" s="268"/>
      <c r="AE2" s="268"/>
      <c r="AF2" s="820"/>
      <c r="AG2" s="820"/>
      <c r="AH2" s="820"/>
      <c r="AI2" s="820"/>
      <c r="AJ2" s="820"/>
      <c r="AK2" s="820"/>
      <c r="AL2" s="820"/>
      <c r="AM2" s="820"/>
      <c r="AN2" s="821"/>
      <c r="AO2" s="821"/>
      <c r="AP2" s="821"/>
      <c r="AQ2" s="1136" t="s">
        <v>2412</v>
      </c>
      <c r="AR2" s="1137"/>
      <c r="AS2" s="1137"/>
      <c r="AT2" s="1137"/>
      <c r="AU2" s="1137"/>
      <c r="AV2" s="1137"/>
      <c r="AW2" s="1137"/>
      <c r="AX2" s="1137"/>
      <c r="AY2" s="1137"/>
      <c r="AZ2" s="1137"/>
      <c r="BA2" s="1137"/>
      <c r="BB2" s="1137"/>
      <c r="BC2" s="1138"/>
      <c r="BE2" s="1135"/>
    </row>
    <row r="3" spans="3:57">
      <c r="C3" s="268"/>
      <c r="D3" s="268"/>
      <c r="E3" s="268"/>
      <c r="F3" s="268"/>
      <c r="G3" s="1143" t="s">
        <v>2413</v>
      </c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3"/>
      <c r="T3" s="1143"/>
      <c r="U3" s="1143"/>
      <c r="V3" s="1143"/>
      <c r="W3" s="1143"/>
      <c r="X3" s="1143"/>
      <c r="Y3" s="1143"/>
      <c r="Z3" s="1143"/>
      <c r="AA3" s="819"/>
      <c r="AB3" s="268"/>
      <c r="AC3" s="268"/>
      <c r="AD3" s="268"/>
      <c r="AE3" s="268"/>
      <c r="AF3" s="820"/>
      <c r="AG3" s="820"/>
      <c r="AH3" s="820"/>
      <c r="AI3" s="820"/>
      <c r="AJ3" s="820"/>
      <c r="AK3" s="820"/>
      <c r="AL3" s="820"/>
      <c r="AM3" s="820"/>
      <c r="AN3" s="821"/>
      <c r="AO3" s="821"/>
      <c r="AP3" s="821"/>
      <c r="AQ3" s="1139" t="s">
        <v>2414</v>
      </c>
      <c r="AR3" s="1140"/>
      <c r="AS3" s="1140"/>
      <c r="AT3" s="1140"/>
      <c r="AU3" s="1140"/>
      <c r="AV3" s="1140"/>
      <c r="AW3" s="1140"/>
      <c r="AX3" s="1140"/>
      <c r="AY3" s="1140"/>
      <c r="AZ3" s="1140"/>
      <c r="BA3" s="1140"/>
      <c r="BB3" s="1140"/>
      <c r="BC3" s="1141"/>
      <c r="BE3" s="1135"/>
    </row>
    <row r="4" spans="3:57">
      <c r="C4" s="268"/>
      <c r="D4" s="268"/>
      <c r="E4" s="268"/>
      <c r="F4" s="268"/>
      <c r="G4" s="1143" t="s">
        <v>2415</v>
      </c>
      <c r="H4" s="1143"/>
      <c r="I4" s="1143"/>
      <c r="J4" s="1143"/>
      <c r="K4" s="1143"/>
      <c r="L4" s="1143"/>
      <c r="M4" s="1143"/>
      <c r="N4" s="1143"/>
      <c r="O4" s="1143"/>
      <c r="P4" s="1143"/>
      <c r="Q4" s="1143"/>
      <c r="R4" s="1143"/>
      <c r="S4" s="1143"/>
      <c r="T4" s="1143"/>
      <c r="U4" s="1143"/>
      <c r="V4" s="1143"/>
      <c r="W4" s="1143"/>
      <c r="X4" s="1143"/>
      <c r="Y4" s="1143"/>
      <c r="Z4" s="1143"/>
      <c r="AA4" s="819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821"/>
      <c r="AO4" s="821"/>
      <c r="AP4" s="821"/>
      <c r="AQ4" s="821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820"/>
      <c r="BE4" s="1135"/>
    </row>
    <row r="5" spans="3:57" ht="13.5" customHeight="1"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820"/>
      <c r="AY5" s="820"/>
      <c r="AZ5" s="820"/>
      <c r="BA5" s="820"/>
      <c r="BB5" s="820"/>
      <c r="BC5" s="820"/>
      <c r="BE5" s="1135"/>
    </row>
    <row r="6" spans="3:57" ht="23.25" customHeight="1">
      <c r="C6" s="1176" t="str">
        <f>IF(OsnPodaci!A58="","Unijeti interval izvještavanja.","GODIŠNJI IZVJEŠTAJ O INVESTICIJAMA ZA "&amp;TEXT(OsnPodaci!A58,"yyyy.")&amp;" GODINU")</f>
        <v>GODIŠNJI IZVJEŠTAJ O INVESTICIJAMA ZA 2022. GODINU</v>
      </c>
      <c r="D6" s="1176"/>
      <c r="E6" s="1176"/>
      <c r="F6" s="1176"/>
      <c r="G6" s="1176"/>
      <c r="H6" s="1176"/>
      <c r="I6" s="1176"/>
      <c r="J6" s="1176"/>
      <c r="K6" s="1176"/>
      <c r="L6" s="1176"/>
      <c r="M6" s="1176"/>
      <c r="N6" s="1176"/>
      <c r="O6" s="1176"/>
      <c r="P6" s="1176"/>
      <c r="Q6" s="1176"/>
      <c r="R6" s="1176"/>
      <c r="S6" s="1176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  <c r="AJ6" s="1176"/>
      <c r="AK6" s="1176"/>
      <c r="AL6" s="1176"/>
      <c r="AM6" s="1176"/>
      <c r="AN6" s="1176"/>
      <c r="AO6" s="1176"/>
      <c r="AP6" s="1176"/>
      <c r="AQ6" s="1176"/>
      <c r="AR6" s="1176"/>
      <c r="AS6" s="1176"/>
      <c r="AT6" s="1176"/>
      <c r="AU6" s="1176"/>
      <c r="AV6" s="1176"/>
      <c r="AW6" s="1176"/>
      <c r="AX6" s="1176"/>
      <c r="AY6" s="1176"/>
      <c r="AZ6" s="1176"/>
      <c r="BA6" s="1176"/>
      <c r="BB6" s="1176"/>
      <c r="BC6" s="1176"/>
      <c r="BE6" s="1135"/>
    </row>
    <row r="7" spans="3:57" ht="54" customHeight="1">
      <c r="C7" s="1173" t="s">
        <v>2416</v>
      </c>
      <c r="D7" s="1174"/>
      <c r="E7" s="1174"/>
      <c r="F7" s="1174"/>
      <c r="G7" s="1174"/>
      <c r="H7" s="1174"/>
      <c r="I7" s="1174"/>
      <c r="J7" s="1174"/>
      <c r="K7" s="1174"/>
      <c r="L7" s="1174"/>
      <c r="M7" s="1174"/>
      <c r="N7" s="1174"/>
      <c r="O7" s="1174"/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4"/>
      <c r="AI7" s="1174"/>
      <c r="AJ7" s="1174"/>
      <c r="AK7" s="1174"/>
      <c r="AL7" s="1174"/>
      <c r="AM7" s="1174"/>
      <c r="AN7" s="1174"/>
      <c r="AO7" s="1174"/>
      <c r="AP7" s="1174"/>
      <c r="AQ7" s="1174"/>
      <c r="AR7" s="1174"/>
      <c r="AS7" s="1174"/>
      <c r="AT7" s="1174"/>
      <c r="AU7" s="1174"/>
      <c r="AV7" s="1174"/>
      <c r="AW7" s="1174"/>
      <c r="AX7" s="1174"/>
      <c r="AY7" s="1174"/>
      <c r="AZ7" s="1174"/>
      <c r="BA7" s="1174"/>
      <c r="BB7" s="1174"/>
      <c r="BC7" s="1175"/>
      <c r="BE7" s="1135"/>
    </row>
    <row r="8" spans="3:57">
      <c r="C8" s="823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0"/>
      <c r="Q8" s="825"/>
      <c r="R8" s="825"/>
      <c r="S8" s="825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25"/>
      <c r="AE8" s="825"/>
      <c r="AF8" s="825"/>
      <c r="AG8" s="825"/>
      <c r="AH8" s="825"/>
      <c r="AI8" s="825"/>
      <c r="AJ8" s="825"/>
      <c r="AK8" s="825"/>
      <c r="AL8" s="825"/>
      <c r="AM8" s="825"/>
      <c r="AN8" s="825"/>
      <c r="AO8" s="825"/>
      <c r="AP8" s="825"/>
      <c r="AQ8" s="825"/>
      <c r="AR8" s="825"/>
      <c r="AS8" s="825"/>
      <c r="AT8" s="825"/>
      <c r="AU8" s="825"/>
      <c r="AV8" s="825"/>
      <c r="AW8" s="825"/>
      <c r="AX8" s="825"/>
      <c r="AY8" s="825"/>
      <c r="AZ8" s="825"/>
      <c r="BA8" s="825"/>
      <c r="BB8" s="825"/>
      <c r="BC8" s="825"/>
      <c r="BE8" s="1135"/>
    </row>
    <row r="9" spans="3:57">
      <c r="C9" s="826" t="s">
        <v>2417</v>
      </c>
      <c r="D9" s="826"/>
      <c r="E9" s="826"/>
      <c r="F9" s="826"/>
      <c r="G9" s="827"/>
      <c r="H9" s="827"/>
      <c r="I9" s="827"/>
      <c r="J9" s="827"/>
      <c r="K9" s="820"/>
      <c r="M9" s="827"/>
      <c r="N9" s="827"/>
      <c r="O9" s="827"/>
      <c r="P9" s="820"/>
      <c r="Q9" s="828" t="str">
        <f>IF(OsnPodaci!$B$4="","",OsnPodaci!$B$4)</f>
        <v>ZIF " prevent INVEST " d.d.</v>
      </c>
      <c r="R9" s="828"/>
      <c r="S9" s="828"/>
      <c r="T9" s="828"/>
      <c r="U9" s="828"/>
      <c r="V9" s="828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E9" s="1135"/>
    </row>
    <row r="10" spans="3:57" ht="3.95" customHeight="1">
      <c r="C10" s="826"/>
      <c r="D10" s="826"/>
      <c r="E10" s="826"/>
      <c r="F10" s="826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E10" s="1135"/>
    </row>
    <row r="11" spans="3:57" ht="18" customHeight="1">
      <c r="C11" s="826" t="s">
        <v>2418</v>
      </c>
      <c r="D11" s="826"/>
      <c r="E11" s="826"/>
      <c r="F11" s="826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R11" s="827"/>
      <c r="S11" s="827"/>
      <c r="T11" s="827"/>
      <c r="V11" s="827"/>
      <c r="W11" s="827"/>
      <c r="X11" s="829" t="str">
        <f>IF(OsnPodaci!A4="","",OsnPodaci!A4)</f>
        <v>4200191740002</v>
      </c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27"/>
      <c r="AN11" s="827"/>
      <c r="AO11" s="827"/>
      <c r="AP11" s="827"/>
      <c r="AQ11" s="827"/>
      <c r="AR11" s="827"/>
      <c r="AS11" s="827"/>
      <c r="AT11" s="827"/>
      <c r="AU11" s="827"/>
      <c r="AV11" s="827"/>
      <c r="AW11" s="829"/>
      <c r="AX11" s="829"/>
      <c r="AY11" s="829"/>
      <c r="AZ11" s="829"/>
      <c r="BA11" s="829"/>
      <c r="BB11" s="829"/>
      <c r="BE11" s="1135"/>
    </row>
    <row r="12" spans="3:57" ht="3.95" customHeight="1">
      <c r="C12" s="826"/>
      <c r="D12" s="826"/>
      <c r="E12" s="826"/>
      <c r="F12" s="826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E12" s="1135"/>
    </row>
    <row r="13" spans="3:57">
      <c r="C13" s="826" t="s">
        <v>2419</v>
      </c>
      <c r="D13" s="826"/>
      <c r="E13" s="826"/>
      <c r="F13" s="826"/>
      <c r="G13" s="820"/>
      <c r="H13" s="820"/>
      <c r="J13" s="828"/>
      <c r="K13" s="828"/>
      <c r="L13" s="828"/>
      <c r="M13" s="828"/>
      <c r="N13" s="828"/>
      <c r="O13" s="828"/>
      <c r="P13" s="828"/>
      <c r="Q13" s="828" t="str">
        <f>IF('#UNOS'!B12="","",VLOOKUP('#UNOS'!B12,'#Konverter'!B2:F80,5,FALSE))</f>
        <v>Kanton Sarajevo</v>
      </c>
      <c r="R13" s="828"/>
      <c r="S13" s="828"/>
      <c r="T13" s="828"/>
      <c r="U13" s="828"/>
      <c r="V13" s="827"/>
      <c r="X13" s="827"/>
      <c r="Y13" s="827"/>
      <c r="Z13" s="827"/>
      <c r="AA13" s="827"/>
      <c r="AC13" s="827"/>
      <c r="AE13" s="828"/>
      <c r="AF13" s="828"/>
      <c r="AG13" s="820"/>
      <c r="AH13" s="828"/>
      <c r="AJ13" s="828"/>
      <c r="AK13" s="828"/>
      <c r="AL13" s="828"/>
      <c r="AM13" s="828"/>
      <c r="AN13" s="828"/>
      <c r="AO13" s="830" t="s">
        <v>2420</v>
      </c>
      <c r="AP13" s="828"/>
      <c r="AQ13" s="828" t="str">
        <f>IF(OsnPodaci!A10="","",OsnPodaci!A10)</f>
        <v>Sarajevo-Novi Grad</v>
      </c>
      <c r="AR13" s="820"/>
      <c r="AS13" s="820"/>
      <c r="AU13" s="820"/>
      <c r="AV13" s="820"/>
      <c r="AW13" s="820"/>
      <c r="AX13" s="820"/>
      <c r="AY13" s="820"/>
      <c r="AZ13" s="820"/>
      <c r="BA13" s="820"/>
      <c r="BB13" s="820"/>
      <c r="BC13" s="820"/>
      <c r="BE13" s="1135"/>
    </row>
    <row r="14" spans="3:57" ht="3.95" customHeight="1">
      <c r="C14" s="826"/>
      <c r="D14" s="826"/>
      <c r="E14" s="826"/>
      <c r="F14" s="826"/>
      <c r="G14" s="820"/>
      <c r="H14" s="820"/>
      <c r="J14" s="820"/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X14" s="820"/>
      <c r="Y14" s="820"/>
      <c r="Z14" s="820"/>
      <c r="AA14" s="820"/>
      <c r="AB14" s="820"/>
      <c r="AC14" s="820"/>
      <c r="AE14" s="820"/>
      <c r="AF14" s="820"/>
      <c r="AG14" s="820"/>
      <c r="AH14" s="820"/>
      <c r="AJ14" s="820"/>
      <c r="AK14" s="820"/>
      <c r="AL14" s="820"/>
      <c r="AM14" s="820"/>
      <c r="AN14" s="820"/>
      <c r="AO14" s="820"/>
      <c r="AP14" s="820"/>
      <c r="AQ14" s="820"/>
      <c r="AR14" s="820"/>
      <c r="AS14" s="820"/>
      <c r="AU14" s="820"/>
      <c r="AV14" s="820"/>
      <c r="AW14" s="820"/>
      <c r="AX14" s="820"/>
      <c r="AY14" s="820"/>
      <c r="AZ14" s="820"/>
      <c r="BA14" s="820"/>
      <c r="BB14" s="820"/>
      <c r="BC14" s="820"/>
      <c r="BE14" s="1135"/>
    </row>
    <row r="15" spans="3:57">
      <c r="C15" s="826" t="s">
        <v>2421</v>
      </c>
      <c r="D15" s="826"/>
      <c r="E15" s="826"/>
      <c r="F15" s="826"/>
      <c r="G15" s="827"/>
      <c r="H15" s="820"/>
      <c r="J15" s="828"/>
      <c r="K15" s="828"/>
      <c r="L15" s="828"/>
      <c r="M15" s="828"/>
      <c r="N15" s="828"/>
      <c r="O15" s="828"/>
      <c r="P15" s="828"/>
      <c r="Q15" s="828" t="str">
        <f>CONCATENATE(OsnPodaci!A13," ",OsnPodaci!D13)</f>
        <v xml:space="preserve">Bulevar Meše Selimovića 16 </v>
      </c>
      <c r="R15" s="828"/>
      <c r="S15" s="828"/>
      <c r="T15" s="828"/>
      <c r="U15" s="828"/>
      <c r="V15" s="827"/>
      <c r="X15" s="827"/>
      <c r="Y15" s="827"/>
      <c r="Z15" s="827"/>
      <c r="AA15" s="820"/>
      <c r="AC15" s="820"/>
      <c r="AE15" s="828"/>
      <c r="AF15" s="828"/>
      <c r="AG15" s="820"/>
      <c r="AH15" s="828"/>
      <c r="AJ15" s="828"/>
      <c r="AK15" s="828"/>
      <c r="AL15" s="828"/>
      <c r="AM15" s="828"/>
      <c r="AN15" s="828"/>
      <c r="AO15" s="830" t="s">
        <v>2422</v>
      </c>
      <c r="AP15" s="828"/>
      <c r="AQ15" s="828" t="str">
        <f>IF(LEN(OsnPodaci!B34)=8,TEXT(OsnPodaci!B34,"\000\/000-000"),IF(LEN(OsnPodaci!B34)=9,TEXT(OsnPodaci!B34,"\0??\/000-0000"),"-"))</f>
        <v>-</v>
      </c>
      <c r="AR15" s="820"/>
      <c r="AS15" s="820"/>
      <c r="AU15" s="820"/>
      <c r="AV15" s="820"/>
      <c r="AW15" s="820"/>
      <c r="AX15" s="820"/>
      <c r="AY15" s="820"/>
      <c r="AZ15" s="820"/>
      <c r="BA15" s="820"/>
      <c r="BB15" s="820"/>
      <c r="BC15" s="820"/>
      <c r="BE15" s="1135"/>
    </row>
    <row r="16" spans="3:57" ht="3.95" customHeight="1"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E16" s="1135"/>
    </row>
    <row r="17" spans="1:57">
      <c r="C17" s="826" t="s">
        <v>2423</v>
      </c>
      <c r="D17" s="826"/>
      <c r="E17" s="826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S17" s="829" t="str">
        <f>IF(OsnPodaci!A19="","",OsnPodaci!A19)</f>
        <v>64.30</v>
      </c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7"/>
      <c r="AJ17" s="827"/>
      <c r="AK17" s="827"/>
      <c r="AL17" s="827"/>
      <c r="AM17" s="827"/>
      <c r="AN17" s="827"/>
      <c r="AO17" s="827"/>
      <c r="AP17" s="827"/>
      <c r="AQ17" s="820"/>
      <c r="AR17" s="820"/>
      <c r="AS17" s="820"/>
      <c r="AT17" s="820"/>
      <c r="AU17" s="820"/>
      <c r="AV17" s="820"/>
      <c r="AW17" s="820"/>
      <c r="AX17" s="820"/>
      <c r="AY17" s="820"/>
      <c r="AZ17" s="820"/>
      <c r="BA17" s="829"/>
      <c r="BB17" s="829"/>
      <c r="BE17" s="1135"/>
    </row>
    <row r="18" spans="1:57" ht="3.95" customHeight="1"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820"/>
      <c r="AQ18" s="820"/>
      <c r="AR18" s="820"/>
      <c r="AS18" s="820"/>
      <c r="AT18" s="820"/>
      <c r="AU18" s="820"/>
      <c r="AV18" s="820"/>
      <c r="AW18" s="820"/>
      <c r="AX18" s="820"/>
      <c r="AY18" s="820"/>
      <c r="AZ18" s="820"/>
      <c r="BA18" s="820"/>
      <c r="BB18" s="820"/>
      <c r="BC18" s="820"/>
      <c r="BE18" s="1135"/>
    </row>
    <row r="19" spans="1:57" s="82" customFormat="1" ht="13.5" customHeight="1">
      <c r="C19" s="831" t="str">
        <f>IF(OsnPodaci!A73="","Unijeti interval izvještavanja.","TABELA 1. IZVRŠENE ISPLATE ZA INVESTICIJE U STALNA SREDSTVA PO IZVORIMA FINANSIRANJA U "&amp;TEXT(OsnPodaci!A58,"yyyy")&amp;". GODINI")</f>
        <v>TABELA 1. IZVRŠENE ISPLATE ZA INVESTICIJE U STALNA SREDSTVA PO IZVORIMA FINANSIRANJA U 2022. GODINI</v>
      </c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831"/>
      <c r="AN19" s="831"/>
      <c r="AO19" s="831"/>
      <c r="AP19" s="831"/>
      <c r="AQ19" s="831"/>
      <c r="AR19" s="831"/>
      <c r="AS19" s="831"/>
      <c r="AT19" s="833"/>
      <c r="AU19" s="833"/>
      <c r="AV19" s="833"/>
      <c r="AW19" s="835" t="s">
        <v>2424</v>
      </c>
      <c r="AX19" s="835" t="s">
        <v>2425</v>
      </c>
      <c r="BA19" s="833"/>
      <c r="BB19" s="834"/>
      <c r="BC19" s="834"/>
      <c r="BE19" s="1135"/>
    </row>
    <row r="20" spans="1:57" s="82" customFormat="1" ht="13.5" customHeight="1">
      <c r="C20" s="836"/>
      <c r="D20" s="832"/>
      <c r="E20" s="832"/>
      <c r="F20" s="832"/>
      <c r="G20" s="268" t="s">
        <v>2426</v>
      </c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831"/>
      <c r="AF20" s="831"/>
      <c r="AG20" s="831"/>
      <c r="AH20" s="831"/>
      <c r="AI20" s="831"/>
      <c r="AJ20" s="831"/>
      <c r="AK20" s="831"/>
      <c r="AL20" s="831"/>
      <c r="AM20" s="831"/>
      <c r="AN20" s="831"/>
      <c r="AO20" s="831"/>
      <c r="AP20" s="831"/>
      <c r="AQ20" s="831"/>
      <c r="AR20" s="831"/>
      <c r="AS20" s="831"/>
      <c r="AT20" s="835"/>
      <c r="AU20" s="835"/>
      <c r="AV20" s="834"/>
      <c r="AW20" s="834"/>
      <c r="AX20" s="834"/>
      <c r="AY20" s="832"/>
      <c r="AZ20" s="832"/>
      <c r="BA20" s="832"/>
      <c r="BB20" s="834"/>
      <c r="BC20" s="834"/>
      <c r="BE20" s="1135"/>
    </row>
    <row r="21" spans="1:57" ht="15" customHeight="1">
      <c r="C21" s="1184" t="s">
        <v>2085</v>
      </c>
      <c r="D21" s="1185"/>
      <c r="E21" s="1186"/>
      <c r="F21" s="837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8"/>
      <c r="Y21" s="838"/>
      <c r="Z21" s="838"/>
      <c r="AA21" s="838"/>
      <c r="AB21" s="838"/>
      <c r="AC21" s="838"/>
      <c r="AD21" s="838"/>
      <c r="AE21" s="838"/>
      <c r="AF21" s="838"/>
      <c r="AG21" s="838"/>
      <c r="AH21" s="838"/>
      <c r="AI21" s="838"/>
      <c r="AJ21" s="838"/>
      <c r="AK21" s="838"/>
      <c r="AL21" s="838"/>
      <c r="AM21" s="838"/>
      <c r="AN21" s="838"/>
      <c r="AO21" s="838"/>
      <c r="AP21" s="838"/>
      <c r="AQ21" s="838"/>
      <c r="AR21" s="838"/>
      <c r="AS21" s="838"/>
      <c r="AT21" s="838"/>
      <c r="AU21" s="838"/>
      <c r="AV21" s="839"/>
      <c r="AW21" s="1129" t="s">
        <v>2427</v>
      </c>
      <c r="AX21" s="1130"/>
      <c r="AY21" s="1130"/>
      <c r="AZ21" s="1130"/>
      <c r="BA21" s="1130"/>
      <c r="BB21" s="1130"/>
      <c r="BC21" s="1131"/>
      <c r="BE21" s="1135"/>
    </row>
    <row r="22" spans="1:57" ht="15" customHeight="1">
      <c r="C22" s="1187"/>
      <c r="D22" s="1188"/>
      <c r="E22" s="1189"/>
      <c r="F22" s="842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3"/>
      <c r="AG22" s="843"/>
      <c r="AH22" s="843"/>
      <c r="AI22" s="843"/>
      <c r="AJ22" s="843"/>
      <c r="AK22" s="843"/>
      <c r="AL22" s="843"/>
      <c r="AM22" s="843"/>
      <c r="AN22" s="843"/>
      <c r="AO22" s="843"/>
      <c r="AP22" s="843"/>
      <c r="AQ22" s="843"/>
      <c r="AR22" s="843"/>
      <c r="AS22" s="843"/>
      <c r="AT22" s="843"/>
      <c r="AU22" s="843"/>
      <c r="AV22" s="844"/>
      <c r="AW22" s="1132"/>
      <c r="AX22" s="1133"/>
      <c r="AY22" s="1133"/>
      <c r="AZ22" s="1133"/>
      <c r="BA22" s="1133"/>
      <c r="BB22" s="1133"/>
      <c r="BC22" s="1134"/>
      <c r="BE22" s="1135"/>
    </row>
    <row r="23" spans="1:57" ht="15" customHeight="1">
      <c r="A23">
        <v>0.01</v>
      </c>
      <c r="B23" t="str">
        <f>IF(LEN(AW23)=0,"",1+ABS((AW23*A23)/LEN(AW23))+A23)</f>
        <v/>
      </c>
      <c r="C23" s="1180" t="s">
        <v>2091</v>
      </c>
      <c r="D23" s="1181"/>
      <c r="E23" s="1182"/>
      <c r="F23" s="847" t="str">
        <f>IF(OsnPodaci!A75="","Unijeti interval izvještavanja.","Isplaćeno za investicije po izvorima u "&amp;TEXT(OsnPodaci!A58,"yyyy")&amp;". godini")</f>
        <v>Isplaćeno za investicije po izvorima u 2022. godini</v>
      </c>
      <c r="G23" s="848"/>
      <c r="H23" s="848"/>
      <c r="I23" s="848"/>
      <c r="J23" s="848"/>
      <c r="K23" s="848"/>
      <c r="L23" s="848"/>
      <c r="M23" s="848"/>
      <c r="N23" s="848"/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48"/>
      <c r="AI23" s="848"/>
      <c r="AJ23" s="848"/>
      <c r="AK23" s="848"/>
      <c r="AL23" s="848"/>
      <c r="AM23" s="848"/>
      <c r="AN23" s="848"/>
      <c r="AO23" s="848"/>
      <c r="AP23" s="848"/>
      <c r="AQ23" s="848"/>
      <c r="AR23" s="848"/>
      <c r="AS23" s="848"/>
      <c r="AT23" s="848"/>
      <c r="AU23" s="848"/>
      <c r="AV23" s="865"/>
      <c r="AW23" s="1177" t="str">
        <f>IFERROR(IF(AND(AW25,AW26,AW29,AW33,AW34,AW35)="","",SUM(AW25)+SUM(AW26)+SUM(AW29)+SUM(AW33:BC36)),"")</f>
        <v/>
      </c>
      <c r="AX23" s="1178"/>
      <c r="AY23" s="1178"/>
      <c r="AZ23" s="1178"/>
      <c r="BA23" s="1178"/>
      <c r="BB23" s="1178"/>
      <c r="BC23" s="1179"/>
      <c r="BE23" s="1135"/>
    </row>
    <row r="24" spans="1:57" ht="15" customHeight="1">
      <c r="C24" s="1156"/>
      <c r="D24" s="1157"/>
      <c r="E24" s="1183"/>
      <c r="F24" s="849" t="s">
        <v>2428</v>
      </c>
      <c r="G24" s="850"/>
      <c r="H24" s="850"/>
      <c r="I24" s="850"/>
      <c r="J24" s="850"/>
      <c r="K24" s="850"/>
      <c r="L24" s="850"/>
      <c r="M24" s="850"/>
      <c r="N24" s="850"/>
      <c r="O24" s="850"/>
      <c r="P24" s="850"/>
      <c r="Q24" s="850"/>
      <c r="R24" s="850"/>
      <c r="S24" s="850"/>
      <c r="T24" s="850"/>
      <c r="U24" s="850"/>
      <c r="V24" s="850"/>
      <c r="W24" s="850"/>
      <c r="X24" s="850"/>
      <c r="Y24" s="850"/>
      <c r="Z24" s="850"/>
      <c r="AA24" s="850"/>
      <c r="AB24" s="850"/>
      <c r="AC24" s="850"/>
      <c r="AD24" s="850"/>
      <c r="AE24" s="850"/>
      <c r="AF24" s="850"/>
      <c r="AG24" s="850"/>
      <c r="AH24" s="850"/>
      <c r="AI24" s="850"/>
      <c r="AJ24" s="850"/>
      <c r="AK24" s="850"/>
      <c r="AL24" s="850"/>
      <c r="AM24" s="850"/>
      <c r="AN24" s="850"/>
      <c r="AO24" s="850"/>
      <c r="AP24" s="850"/>
      <c r="AQ24" s="850"/>
      <c r="AR24" s="850"/>
      <c r="AS24" s="850"/>
      <c r="AT24" s="850"/>
      <c r="AU24" s="850"/>
      <c r="AV24" s="866"/>
      <c r="AW24" s="1170"/>
      <c r="AX24" s="1171"/>
      <c r="AY24" s="1171"/>
      <c r="AZ24" s="1171"/>
      <c r="BA24" s="1171"/>
      <c r="BB24" s="1171"/>
      <c r="BC24" s="1172"/>
      <c r="BE24" s="1135"/>
    </row>
    <row r="25" spans="1:57" ht="15" customHeight="1">
      <c r="A25">
        <v>0.02</v>
      </c>
      <c r="B25" t="str">
        <f t="shared" ref="B25:B35" si="0">IF(LEN(AW25)=0,"",1+ABS((AW25*A25)/LEN(AW25))+A25)</f>
        <v/>
      </c>
      <c r="C25" s="851" t="s">
        <v>2429</v>
      </c>
      <c r="D25" s="852"/>
      <c r="E25" s="852"/>
      <c r="F25" s="853" t="s">
        <v>2430</v>
      </c>
      <c r="G25" s="852"/>
      <c r="H25" s="854"/>
      <c r="I25" s="854"/>
      <c r="J25" s="854"/>
      <c r="K25" s="854"/>
      <c r="L25" s="854"/>
      <c r="M25" s="854"/>
      <c r="N25" s="855"/>
      <c r="O25" s="855"/>
      <c r="Q25" s="856" t="s">
        <v>2431</v>
      </c>
      <c r="R25" s="854"/>
      <c r="S25" s="854"/>
      <c r="T25" s="854"/>
      <c r="U25" s="854"/>
      <c r="V25" s="855"/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1113"/>
      <c r="AX25" s="1114"/>
      <c r="AY25" s="1114"/>
      <c r="AZ25" s="1114"/>
      <c r="BA25" s="1114"/>
      <c r="BB25" s="1114"/>
      <c r="BC25" s="1115"/>
      <c r="BE25" s="1135"/>
    </row>
    <row r="26" spans="1:57" ht="15" customHeight="1">
      <c r="A26">
        <v>0.03</v>
      </c>
      <c r="B26" t="str">
        <f t="shared" si="0"/>
        <v/>
      </c>
      <c r="C26" s="851" t="s">
        <v>2432</v>
      </c>
      <c r="D26" s="852"/>
      <c r="E26" s="852"/>
      <c r="F26" s="853" t="s">
        <v>2433</v>
      </c>
      <c r="G26" s="852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854"/>
      <c r="AJ26" s="854"/>
      <c r="AK26" s="854"/>
      <c r="AL26" s="854" t="s">
        <v>2434</v>
      </c>
      <c r="AM26" s="854"/>
      <c r="AN26" s="854"/>
      <c r="AO26" s="854"/>
      <c r="AP26" s="854"/>
      <c r="AQ26" s="854"/>
      <c r="AR26" s="854"/>
      <c r="AS26" s="854"/>
      <c r="AT26" s="854"/>
      <c r="AU26" s="854"/>
      <c r="AV26" s="854"/>
      <c r="AW26" s="1116" t="str">
        <f t="array" ref="AW26">IF(AND(ISBLANK(AW27:BC28)),"",SUM(AW27:BC28))</f>
        <v/>
      </c>
      <c r="AX26" s="1117"/>
      <c r="AY26" s="1117"/>
      <c r="AZ26" s="1117"/>
      <c r="BA26" s="1117"/>
      <c r="BB26" s="1117"/>
      <c r="BC26" s="1118"/>
      <c r="BE26" s="1135"/>
    </row>
    <row r="27" spans="1:57" ht="15" customHeight="1">
      <c r="A27">
        <v>0.04</v>
      </c>
      <c r="B27" t="str">
        <f t="shared" si="0"/>
        <v/>
      </c>
      <c r="C27" s="857" t="s">
        <v>2435</v>
      </c>
      <c r="D27" s="854"/>
      <c r="E27" s="854"/>
      <c r="F27" s="858" t="s">
        <v>2436</v>
      </c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854"/>
      <c r="AJ27" s="854"/>
      <c r="AK27" s="854"/>
      <c r="AL27" s="854"/>
      <c r="AM27" s="854"/>
      <c r="AN27" s="854"/>
      <c r="AO27" s="854"/>
      <c r="AP27" s="854"/>
      <c r="AQ27" s="854"/>
      <c r="AR27" s="854"/>
      <c r="AS27" s="854"/>
      <c r="AT27" s="854"/>
      <c r="AU27" s="854"/>
      <c r="AV27" s="854"/>
      <c r="AW27" s="1110"/>
      <c r="AX27" s="1111"/>
      <c r="AY27" s="1111"/>
      <c r="AZ27" s="1111"/>
      <c r="BA27" s="1111"/>
      <c r="BB27" s="1111"/>
      <c r="BC27" s="1112"/>
      <c r="BE27" s="1135"/>
    </row>
    <row r="28" spans="1:57" ht="15" customHeight="1">
      <c r="A28">
        <v>0.05</v>
      </c>
      <c r="B28" t="str">
        <f t="shared" si="0"/>
        <v/>
      </c>
      <c r="C28" s="857" t="s">
        <v>2437</v>
      </c>
      <c r="D28" s="854"/>
      <c r="E28" s="854"/>
      <c r="F28" s="858" t="s">
        <v>2438</v>
      </c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854"/>
      <c r="AJ28" s="854"/>
      <c r="AK28" s="854"/>
      <c r="AL28" s="854"/>
      <c r="AM28" s="854"/>
      <c r="AN28" s="854"/>
      <c r="AO28" s="854"/>
      <c r="AP28" s="854"/>
      <c r="AQ28" s="854"/>
      <c r="AR28" s="854"/>
      <c r="AS28" s="854"/>
      <c r="AT28" s="854"/>
      <c r="AU28" s="854"/>
      <c r="AV28" s="854"/>
      <c r="AW28" s="1110"/>
      <c r="AX28" s="1111"/>
      <c r="AY28" s="1111"/>
      <c r="AZ28" s="1111"/>
      <c r="BA28" s="1111"/>
      <c r="BB28" s="1111"/>
      <c r="BC28" s="1112"/>
      <c r="BE28" s="1135"/>
    </row>
    <row r="29" spans="1:57" ht="15" customHeight="1">
      <c r="A29">
        <v>6.0000000000000005E-2</v>
      </c>
      <c r="B29" t="str">
        <f t="shared" si="0"/>
        <v/>
      </c>
      <c r="C29" s="851" t="s">
        <v>2439</v>
      </c>
      <c r="D29" s="852"/>
      <c r="E29" s="852"/>
      <c r="F29" s="853" t="s">
        <v>2440</v>
      </c>
      <c r="G29" s="854"/>
      <c r="H29" s="854"/>
      <c r="I29" s="854"/>
      <c r="J29" s="854"/>
      <c r="K29" s="854"/>
      <c r="L29" s="854"/>
      <c r="M29" s="854"/>
      <c r="N29" s="854"/>
      <c r="O29" s="854"/>
      <c r="P29" s="855"/>
      <c r="Q29" s="856" t="s">
        <v>2441</v>
      </c>
      <c r="R29" s="855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854"/>
      <c r="AD29" s="854"/>
      <c r="AE29" s="854"/>
      <c r="AF29" s="854"/>
      <c r="AG29" s="854"/>
      <c r="AH29" s="854"/>
      <c r="AI29" s="854"/>
      <c r="AJ29" s="854"/>
      <c r="AK29" s="854"/>
      <c r="AL29" s="854" t="s">
        <v>2442</v>
      </c>
      <c r="AM29" s="854"/>
      <c r="AN29" s="854"/>
      <c r="AO29" s="854"/>
      <c r="AP29" s="854"/>
      <c r="AQ29" s="854"/>
      <c r="AR29" s="854"/>
      <c r="AS29" s="854"/>
      <c r="AT29" s="854"/>
      <c r="AU29" s="854"/>
      <c r="AV29" s="854"/>
      <c r="AW29" s="1116" t="str">
        <f t="array" ref="AW29">IF(AND(ISBLANK(AW30:BC32)),"",SUM(AW30:BC32))</f>
        <v/>
      </c>
      <c r="AX29" s="1117"/>
      <c r="AY29" s="1117"/>
      <c r="AZ29" s="1117"/>
      <c r="BA29" s="1117"/>
      <c r="BB29" s="1117"/>
      <c r="BC29" s="1118"/>
      <c r="BE29" s="1135"/>
    </row>
    <row r="30" spans="1:57" ht="15" customHeight="1">
      <c r="A30">
        <v>7.0000000000000007E-2</v>
      </c>
      <c r="B30" t="str">
        <f t="shared" si="0"/>
        <v/>
      </c>
      <c r="C30" s="857" t="s">
        <v>2443</v>
      </c>
      <c r="D30" s="854"/>
      <c r="E30" s="854"/>
      <c r="F30" s="858" t="s">
        <v>2444</v>
      </c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4"/>
      <c r="Z30" s="854"/>
      <c r="AA30" s="854"/>
      <c r="AB30" s="854"/>
      <c r="AC30" s="854"/>
      <c r="AD30" s="854"/>
      <c r="AE30" s="854"/>
      <c r="AF30" s="854"/>
      <c r="AG30" s="854"/>
      <c r="AH30" s="854"/>
      <c r="AI30" s="854"/>
      <c r="AJ30" s="854"/>
      <c r="AK30" s="854"/>
      <c r="AL30" s="854"/>
      <c r="AM30" s="854"/>
      <c r="AN30" s="854"/>
      <c r="AO30" s="854"/>
      <c r="AP30" s="854"/>
      <c r="AQ30" s="854"/>
      <c r="AR30" s="854"/>
      <c r="AS30" s="854"/>
      <c r="AT30" s="854"/>
      <c r="AU30" s="854"/>
      <c r="AV30" s="854"/>
      <c r="AW30" s="1110"/>
      <c r="AX30" s="1111"/>
      <c r="AY30" s="1111"/>
      <c r="AZ30" s="1111"/>
      <c r="BA30" s="1111"/>
      <c r="BB30" s="1111"/>
      <c r="BC30" s="1112"/>
      <c r="BE30" s="1135"/>
    </row>
    <row r="31" spans="1:57" ht="15" customHeight="1">
      <c r="A31">
        <v>0.08</v>
      </c>
      <c r="B31" t="str">
        <f t="shared" si="0"/>
        <v/>
      </c>
      <c r="C31" s="857" t="s">
        <v>2445</v>
      </c>
      <c r="D31" s="854"/>
      <c r="E31" s="854"/>
      <c r="F31" s="858" t="s">
        <v>2446</v>
      </c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  <c r="Y31" s="854"/>
      <c r="Z31" s="854"/>
      <c r="AA31" s="854"/>
      <c r="AB31" s="854"/>
      <c r="AC31" s="854"/>
      <c r="AD31" s="854"/>
      <c r="AE31" s="854"/>
      <c r="AF31" s="854"/>
      <c r="AG31" s="854"/>
      <c r="AH31" s="854"/>
      <c r="AI31" s="854"/>
      <c r="AJ31" s="854"/>
      <c r="AK31" s="854"/>
      <c r="AL31" s="854"/>
      <c r="AM31" s="854"/>
      <c r="AN31" s="854"/>
      <c r="AO31" s="854"/>
      <c r="AP31" s="854"/>
      <c r="AQ31" s="854"/>
      <c r="AR31" s="854"/>
      <c r="AS31" s="854"/>
      <c r="AT31" s="854"/>
      <c r="AU31" s="854"/>
      <c r="AV31" s="854"/>
      <c r="AW31" s="1110"/>
      <c r="AX31" s="1111"/>
      <c r="AY31" s="1111"/>
      <c r="AZ31" s="1111"/>
      <c r="BA31" s="1111"/>
      <c r="BB31" s="1111"/>
      <c r="BC31" s="1112"/>
      <c r="BE31" s="1135"/>
    </row>
    <row r="32" spans="1:57" ht="15" customHeight="1">
      <c r="A32">
        <v>0.09</v>
      </c>
      <c r="B32" t="str">
        <f t="shared" si="0"/>
        <v/>
      </c>
      <c r="C32" s="857" t="s">
        <v>2447</v>
      </c>
      <c r="D32" s="854"/>
      <c r="E32" s="854"/>
      <c r="F32" s="858" t="s">
        <v>2448</v>
      </c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  <c r="AI32" s="854"/>
      <c r="AJ32" s="854"/>
      <c r="AK32" s="854"/>
      <c r="AL32" s="854"/>
      <c r="AM32" s="854"/>
      <c r="AN32" s="854"/>
      <c r="AO32" s="854"/>
      <c r="AP32" s="854"/>
      <c r="AQ32" s="854"/>
      <c r="AR32" s="854"/>
      <c r="AS32" s="854"/>
      <c r="AT32" s="854"/>
      <c r="AU32" s="854"/>
      <c r="AV32" s="854"/>
      <c r="AW32" s="1110"/>
      <c r="AX32" s="1111"/>
      <c r="AY32" s="1111"/>
      <c r="AZ32" s="1111"/>
      <c r="BA32" s="1111"/>
      <c r="BB32" s="1111"/>
      <c r="BC32" s="1112"/>
    </row>
    <row r="33" spans="1:55" ht="15.6" customHeight="1">
      <c r="A33">
        <v>9.9999999999999992E-2</v>
      </c>
      <c r="B33" t="str">
        <f t="shared" si="0"/>
        <v/>
      </c>
      <c r="C33" s="851" t="s">
        <v>2449</v>
      </c>
      <c r="D33" s="852"/>
      <c r="E33" s="852"/>
      <c r="F33" s="853" t="s">
        <v>2450</v>
      </c>
      <c r="G33" s="854"/>
      <c r="H33" s="854"/>
      <c r="I33" s="854"/>
      <c r="J33" s="854"/>
      <c r="K33" s="854"/>
      <c r="L33" s="854"/>
      <c r="M33" s="854"/>
      <c r="N33" s="854"/>
      <c r="O33" s="855"/>
      <c r="Q33" s="856" t="s">
        <v>2451</v>
      </c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4"/>
      <c r="AQ33" s="854"/>
      <c r="AR33" s="854"/>
      <c r="AS33" s="854"/>
      <c r="AT33" s="854"/>
      <c r="AU33" s="854"/>
      <c r="AV33" s="854"/>
      <c r="AW33" s="1113"/>
      <c r="AX33" s="1114"/>
      <c r="AY33" s="1114"/>
      <c r="AZ33" s="1114"/>
      <c r="BA33" s="1114"/>
      <c r="BB33" s="1114"/>
      <c r="BC33" s="1115"/>
    </row>
    <row r="34" spans="1:55" ht="15.6" customHeight="1">
      <c r="A34">
        <v>0.10999999999999999</v>
      </c>
      <c r="B34" t="str">
        <f t="shared" si="0"/>
        <v/>
      </c>
      <c r="C34" s="851" t="s">
        <v>2452</v>
      </c>
      <c r="D34" s="852"/>
      <c r="E34" s="852"/>
      <c r="F34" s="853" t="s">
        <v>2453</v>
      </c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  <c r="AD34" s="854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4"/>
      <c r="AP34" s="854"/>
      <c r="AQ34" s="854"/>
      <c r="AR34" s="854"/>
      <c r="AS34" s="854"/>
      <c r="AT34" s="854"/>
      <c r="AU34" s="854"/>
      <c r="AV34" s="854"/>
      <c r="AW34" s="1113"/>
      <c r="AX34" s="1114"/>
      <c r="AY34" s="1114"/>
      <c r="AZ34" s="1114"/>
      <c r="BA34" s="1114"/>
      <c r="BB34" s="1114"/>
      <c r="BC34" s="1115"/>
    </row>
    <row r="35" spans="1:55" ht="15.6" customHeight="1">
      <c r="A35">
        <v>0.11999999999999998</v>
      </c>
      <c r="B35" t="str">
        <f t="shared" si="0"/>
        <v/>
      </c>
      <c r="C35" s="1119" t="s">
        <v>2454</v>
      </c>
      <c r="D35" s="1120"/>
      <c r="E35" s="1120"/>
      <c r="F35" s="859" t="s">
        <v>2455</v>
      </c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  <c r="AB35" s="848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848"/>
      <c r="AV35" s="865"/>
      <c r="AW35" s="1113"/>
      <c r="AX35" s="1114"/>
      <c r="AY35" s="1114"/>
      <c r="AZ35" s="1114"/>
      <c r="BA35" s="1114"/>
      <c r="BB35" s="1114"/>
      <c r="BC35" s="1115"/>
    </row>
    <row r="36" spans="1:55" ht="15.6" customHeight="1">
      <c r="C36" s="1121"/>
      <c r="D36" s="1120"/>
      <c r="E36" s="1120"/>
      <c r="F36" s="860" t="s">
        <v>2456</v>
      </c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  <c r="AA36" s="850"/>
      <c r="AB36" s="850"/>
      <c r="AC36" s="850"/>
      <c r="AD36" s="850"/>
      <c r="AE36" s="850"/>
      <c r="AF36" s="850"/>
      <c r="AG36" s="850"/>
      <c r="AH36" s="850"/>
      <c r="AI36" s="850"/>
      <c r="AJ36" s="850"/>
      <c r="AK36" s="850"/>
      <c r="AL36" s="850"/>
      <c r="AM36" s="850"/>
      <c r="AN36" s="850"/>
      <c r="AO36" s="850"/>
      <c r="AP36" s="850"/>
      <c r="AQ36" s="850"/>
      <c r="AR36" s="850"/>
      <c r="AS36" s="850"/>
      <c r="AT36" s="850"/>
      <c r="AU36" s="850"/>
      <c r="AV36" s="866"/>
      <c r="AW36" s="1113"/>
      <c r="AX36" s="1114"/>
      <c r="AY36" s="1114"/>
      <c r="AZ36" s="1114"/>
      <c r="BA36" s="1114"/>
      <c r="BB36" s="1114"/>
      <c r="BC36" s="1115"/>
    </row>
    <row r="37" spans="1:55" ht="15.6" customHeight="1">
      <c r="A37">
        <v>0.12999999999999998</v>
      </c>
      <c r="B37" t="str">
        <f>IF(LEN(AW37)=0,"",1+ABS((AW37*A37)/LEN(AW37))+A37)</f>
        <v/>
      </c>
      <c r="C37" s="861" t="s">
        <v>2457</v>
      </c>
      <c r="D37" s="862"/>
      <c r="E37" s="862"/>
      <c r="F37" s="863" t="s">
        <v>2458</v>
      </c>
      <c r="G37" s="864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862"/>
      <c r="AO37" s="862"/>
      <c r="AP37" s="862"/>
      <c r="AQ37" s="862"/>
      <c r="AR37" s="862"/>
      <c r="AS37" s="862"/>
      <c r="AT37" s="862"/>
      <c r="AU37" s="862"/>
      <c r="AV37" s="862"/>
      <c r="AW37" s="1122"/>
      <c r="AX37" s="1123"/>
      <c r="AY37" s="1123"/>
      <c r="AZ37" s="1123"/>
      <c r="BA37" s="1123"/>
      <c r="BB37" s="1123"/>
      <c r="BC37" s="1124"/>
    </row>
    <row r="38" spans="1:55" s="72" customFormat="1" ht="15" customHeight="1">
      <c r="C38" s="867" t="s">
        <v>2459</v>
      </c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  <c r="AJ38" s="868"/>
      <c r="AK38" s="868"/>
      <c r="AL38" s="868"/>
      <c r="AM38" s="868"/>
      <c r="AN38" s="868"/>
      <c r="AO38" s="868"/>
      <c r="AP38" s="868"/>
      <c r="AQ38" s="868"/>
      <c r="AR38" s="868"/>
      <c r="AS38" s="868"/>
      <c r="AT38" s="868"/>
      <c r="AU38" s="868"/>
      <c r="AV38" s="868"/>
      <c r="AW38" s="868"/>
      <c r="AX38" s="868"/>
      <c r="AY38" s="868"/>
      <c r="AZ38" s="868"/>
      <c r="BA38" s="868"/>
      <c r="BB38" s="868"/>
      <c r="BC38" s="868"/>
    </row>
    <row r="39" spans="1:55" s="72" customFormat="1" ht="15" customHeight="1">
      <c r="C39" s="867" t="s">
        <v>2460</v>
      </c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  <c r="AJ39" s="868"/>
      <c r="AK39" s="868"/>
      <c r="AL39" s="868"/>
      <c r="AM39" s="868"/>
      <c r="AN39" s="868"/>
      <c r="AO39" s="868"/>
      <c r="AP39" s="868"/>
      <c r="AQ39" s="868"/>
      <c r="AR39" s="868"/>
      <c r="AS39" s="868"/>
      <c r="AT39" s="868"/>
      <c r="AU39" s="868"/>
      <c r="AV39" s="868"/>
      <c r="AW39" s="868"/>
      <c r="AX39" s="868"/>
      <c r="AY39" s="868"/>
      <c r="AZ39" s="868"/>
      <c r="BA39" s="868"/>
      <c r="BB39" s="868"/>
      <c r="BC39" s="868"/>
    </row>
    <row r="40" spans="1:55" s="72" customFormat="1" ht="15" customHeight="1">
      <c r="C40" s="867" t="s">
        <v>2461</v>
      </c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  <c r="AM40" s="868"/>
      <c r="AN40" s="868"/>
      <c r="AO40" s="868"/>
      <c r="AP40" s="868"/>
      <c r="AQ40" s="868"/>
      <c r="AR40" s="868"/>
      <c r="AS40" s="868"/>
      <c r="AT40" s="868"/>
      <c r="AU40" s="868"/>
      <c r="AV40" s="868"/>
      <c r="AW40" s="868"/>
      <c r="AX40" s="868"/>
      <c r="AY40" s="868"/>
      <c r="AZ40" s="868"/>
      <c r="BA40" s="868"/>
      <c r="BB40" s="868"/>
      <c r="BC40" s="868"/>
    </row>
    <row r="41" spans="1:55" s="72" customFormat="1" ht="15" customHeight="1">
      <c r="C41" s="867" t="s">
        <v>2462</v>
      </c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68"/>
      <c r="Q41" s="868"/>
      <c r="R41" s="868"/>
      <c r="S41" s="868"/>
      <c r="T41" s="868"/>
      <c r="U41" s="868"/>
      <c r="V41" s="868"/>
      <c r="W41" s="868"/>
      <c r="X41" s="868"/>
      <c r="Y41" s="868"/>
      <c r="Z41" s="868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68"/>
      <c r="AL41" s="868"/>
      <c r="AM41" s="868"/>
      <c r="AN41" s="868"/>
      <c r="AO41" s="868"/>
      <c r="AP41" s="868"/>
      <c r="AQ41" s="868"/>
      <c r="AR41" s="868"/>
      <c r="AS41" s="868"/>
      <c r="AT41" s="868"/>
      <c r="AU41" s="868"/>
      <c r="AV41" s="868"/>
      <c r="AW41" s="868"/>
      <c r="AX41" s="868"/>
      <c r="AY41" s="868"/>
      <c r="AZ41" s="868"/>
      <c r="BA41" s="868"/>
      <c r="BB41" s="868"/>
      <c r="BC41" s="868"/>
    </row>
    <row r="42" spans="1:55" s="72" customFormat="1" ht="15" customHeight="1">
      <c r="C42" s="867" t="s">
        <v>2463</v>
      </c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  <c r="AM42" s="868"/>
      <c r="AN42" s="868"/>
      <c r="AO42" s="868"/>
      <c r="AP42" s="868"/>
      <c r="AQ42" s="868"/>
      <c r="AR42" s="868"/>
      <c r="AS42" s="868"/>
      <c r="AT42" s="868"/>
      <c r="AU42" s="868"/>
      <c r="AV42" s="868"/>
      <c r="AW42" s="868"/>
      <c r="AX42" s="868"/>
      <c r="AY42" s="868"/>
      <c r="AZ42" s="868"/>
      <c r="BA42" s="868"/>
      <c r="BB42" s="868"/>
      <c r="BC42" s="868"/>
    </row>
    <row r="43" spans="1:55" s="72" customFormat="1" ht="15" customHeight="1">
      <c r="C43" s="867" t="s">
        <v>2464</v>
      </c>
      <c r="D43" s="868"/>
      <c r="E43" s="868"/>
      <c r="F43" s="86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  <c r="U43" s="868"/>
      <c r="V43" s="868"/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  <c r="AO43" s="868"/>
      <c r="AP43" s="868"/>
      <c r="AQ43" s="868"/>
      <c r="AR43" s="868"/>
      <c r="AS43" s="868"/>
      <c r="AT43" s="868"/>
      <c r="AU43" s="868"/>
      <c r="AV43" s="868"/>
      <c r="AW43" s="868"/>
      <c r="AX43" s="868"/>
      <c r="AY43" s="868"/>
      <c r="AZ43" s="868"/>
      <c r="BA43" s="868"/>
      <c r="BB43" s="868"/>
      <c r="BC43" s="868"/>
    </row>
    <row r="44" spans="1:55" s="72" customFormat="1" ht="13.5" customHeight="1">
      <c r="C44" s="869"/>
      <c r="D44" s="2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</row>
    <row r="45" spans="1:55" s="72" customFormat="1" ht="16.899999999999999" customHeight="1">
      <c r="C45" s="831" t="str">
        <f>IF(OsnPodaci!A75="","Unijeti interval izvještavanja.","TABELA 2. VREMENSKA RAZGRANIČENJA IZMEĐU ISPLATA ZA INVESTICIJE I OSTVARENIH INVESTICIJA SA STANJEM 31.12."&amp;TEXT(OsnPodaci!A58,"yyyy")&amp;". GODINE")</f>
        <v>TABELA 2. VREMENSKA RAZGRANIČENJA IZMEĐU ISPLATA ZA INVESTICIJE I OSTVARENIH INVESTICIJA SA STANJEM 31.12.2022. GODINE</v>
      </c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</row>
    <row r="46" spans="1:55" s="74" customFormat="1" ht="16.899999999999999" customHeight="1">
      <c r="C46" s="1125" t="s">
        <v>2085</v>
      </c>
      <c r="D46" s="1126"/>
      <c r="E46" s="1126"/>
      <c r="F46" s="840"/>
      <c r="G46" s="841"/>
      <c r="H46" s="841"/>
      <c r="I46" s="841"/>
      <c r="J46" s="841"/>
      <c r="K46" s="841"/>
      <c r="L46" s="841"/>
      <c r="M46" s="841"/>
      <c r="N46" s="841"/>
      <c r="O46" s="841"/>
      <c r="P46" s="841"/>
      <c r="Q46" s="841"/>
      <c r="R46" s="841"/>
      <c r="S46" s="841"/>
      <c r="T46" s="841"/>
      <c r="U46" s="841"/>
      <c r="V46" s="841"/>
      <c r="W46" s="841"/>
      <c r="X46" s="841"/>
      <c r="Y46" s="841"/>
      <c r="Z46" s="841"/>
      <c r="AA46" s="841"/>
      <c r="AB46" s="841"/>
      <c r="AC46" s="841"/>
      <c r="AD46" s="841"/>
      <c r="AE46" s="841"/>
      <c r="AF46" s="841"/>
      <c r="AG46" s="841"/>
      <c r="AH46" s="841"/>
      <c r="AI46" s="841"/>
      <c r="AJ46" s="841"/>
      <c r="AK46" s="841"/>
      <c r="AL46" s="841"/>
      <c r="AM46" s="841"/>
      <c r="AN46" s="841"/>
      <c r="AO46" s="841"/>
      <c r="AP46" s="841"/>
      <c r="AQ46" s="841"/>
      <c r="AR46" s="841"/>
      <c r="AS46" s="841"/>
      <c r="AT46" s="841"/>
      <c r="AU46" s="841"/>
      <c r="AV46" s="841"/>
      <c r="AW46" s="1129" t="s">
        <v>2427</v>
      </c>
      <c r="AX46" s="1130"/>
      <c r="AY46" s="1130"/>
      <c r="AZ46" s="1130"/>
      <c r="BA46" s="1130"/>
      <c r="BB46" s="1130"/>
      <c r="BC46" s="1131"/>
    </row>
    <row r="47" spans="1:55" s="74" customFormat="1" ht="16.899999999999999" customHeight="1">
      <c r="C47" s="1127"/>
      <c r="D47" s="1128"/>
      <c r="E47" s="1128"/>
      <c r="F47" s="845"/>
      <c r="G47" s="846"/>
      <c r="H47" s="846"/>
      <c r="I47" s="846"/>
      <c r="J47" s="846"/>
      <c r="K47" s="846"/>
      <c r="L47" s="846"/>
      <c r="M47" s="846"/>
      <c r="N47" s="846"/>
      <c r="O47" s="846"/>
      <c r="P47" s="846"/>
      <c r="Q47" s="846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  <c r="AG47" s="846"/>
      <c r="AH47" s="846"/>
      <c r="AI47" s="846"/>
      <c r="AJ47" s="846"/>
      <c r="AK47" s="846"/>
      <c r="AL47" s="846"/>
      <c r="AM47" s="846"/>
      <c r="AN47" s="846"/>
      <c r="AO47" s="846"/>
      <c r="AP47" s="846"/>
      <c r="AQ47" s="846"/>
      <c r="AR47" s="846"/>
      <c r="AS47" s="846"/>
      <c r="AT47" s="846"/>
      <c r="AU47" s="846"/>
      <c r="AV47" s="846"/>
      <c r="AW47" s="1132"/>
      <c r="AX47" s="1133"/>
      <c r="AY47" s="1133"/>
      <c r="AZ47" s="1133"/>
      <c r="BA47" s="1133"/>
      <c r="BB47" s="1133"/>
      <c r="BC47" s="1134"/>
    </row>
    <row r="48" spans="1:55" s="72" customFormat="1" ht="16.899999999999999" customHeight="1">
      <c r="A48" s="72">
        <v>0.13999999999999999</v>
      </c>
      <c r="B48" s="72" t="str">
        <f>IF(LEN(AW48)=0,"",1+ABS((AW48*A48)/LEN(AW48))+A48)</f>
        <v/>
      </c>
      <c r="C48" s="1154" t="s">
        <v>2465</v>
      </c>
      <c r="D48" s="1155"/>
      <c r="E48" s="1155"/>
      <c r="F48" s="880" t="str">
        <f>IF(OsnPodaci!A75="","Unijeti interval izvještavanja.","Isplaćeno za investicije u toku "&amp;TEXT(OsnPodaci!A58,"yyyy")&amp;". godine")</f>
        <v>Isplaćeno za investicije u toku 2022. godine</v>
      </c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24"/>
      <c r="T48" s="824"/>
      <c r="U48" s="824"/>
      <c r="V48" s="824"/>
      <c r="W48" s="824"/>
      <c r="X48" s="824"/>
      <c r="Y48" s="824"/>
      <c r="Z48" s="824"/>
      <c r="AA48" s="824"/>
      <c r="AB48" s="824"/>
      <c r="AC48" s="824"/>
      <c r="AD48" s="824"/>
      <c r="AE48" s="824"/>
      <c r="AF48" s="824"/>
      <c r="AG48" s="824"/>
      <c r="AH48" s="824"/>
      <c r="AI48" s="824"/>
      <c r="AJ48" s="824"/>
      <c r="AK48" s="824"/>
      <c r="AL48" s="824"/>
      <c r="AM48" s="824"/>
      <c r="AN48" s="824"/>
      <c r="AO48" s="824"/>
      <c r="AP48" s="824"/>
      <c r="AQ48" s="824"/>
      <c r="AR48" s="824"/>
      <c r="AS48" s="824"/>
      <c r="AT48" s="824"/>
      <c r="AU48" s="824"/>
      <c r="AV48" s="824"/>
      <c r="AW48" s="1167" t="str">
        <f t="array" ref="AW48">IF(AND(ISBLANK(AW50:BC53)),"",SUM(AW50:BC53))</f>
        <v/>
      </c>
      <c r="AX48" s="1168"/>
      <c r="AY48" s="1168"/>
      <c r="AZ48" s="1168"/>
      <c r="BA48" s="1168"/>
      <c r="BB48" s="1168"/>
      <c r="BC48" s="1169"/>
    </row>
    <row r="49" spans="1:55" s="72" customFormat="1" ht="16.899999999999999" customHeight="1">
      <c r="C49" s="1156"/>
      <c r="D49" s="1157"/>
      <c r="E49" s="1157"/>
      <c r="F49" s="881" t="s">
        <v>2466</v>
      </c>
      <c r="G49" s="873"/>
      <c r="H49" s="873"/>
      <c r="I49" s="873"/>
      <c r="J49" s="873"/>
      <c r="K49" s="873"/>
      <c r="L49" s="873"/>
      <c r="M49" s="873"/>
      <c r="N49" s="873"/>
      <c r="O49" s="873"/>
      <c r="P49" s="873"/>
      <c r="Q49" s="873"/>
      <c r="R49" s="873"/>
      <c r="S49" s="874"/>
      <c r="T49" s="874"/>
      <c r="U49" s="874"/>
      <c r="V49" s="874"/>
      <c r="W49" s="874"/>
      <c r="X49" s="874"/>
      <c r="Y49" s="874"/>
      <c r="Z49" s="874"/>
      <c r="AA49" s="874"/>
      <c r="AB49" s="874"/>
      <c r="AC49" s="874"/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1170"/>
      <c r="AX49" s="1171"/>
      <c r="AY49" s="1171"/>
      <c r="AZ49" s="1171"/>
      <c r="BA49" s="1171"/>
      <c r="BB49" s="1171"/>
      <c r="BC49" s="1172"/>
    </row>
    <row r="50" spans="1:55" s="72" customFormat="1" ht="16.899999999999999" customHeight="1">
      <c r="A50" s="72">
        <v>0.15</v>
      </c>
      <c r="B50" s="72" t="str">
        <f>IF(LEN(AW50)=0,"",1+ABS((AW50*A50)/LEN(AW50))+A50)</f>
        <v/>
      </c>
      <c r="C50" s="870" t="s">
        <v>2467</v>
      </c>
      <c r="D50" s="850"/>
      <c r="E50" s="850"/>
      <c r="F50" s="882" t="str">
        <f>IF(OsnPodaci!B58="","Unijeti interval izvještavanja.","za izvršene radove i nabavke u toku "&amp;TEXT(OsnPodaci!B58,"yyyy.")&amp;" godine")</f>
        <v>za izvršene radove i nabavke u toku 2022. godine</v>
      </c>
      <c r="G50" s="843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4"/>
      <c r="W50" s="875" t="s">
        <v>2468</v>
      </c>
      <c r="X50" s="874"/>
      <c r="Y50" s="874"/>
      <c r="Z50" s="874"/>
      <c r="AA50" s="874"/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874"/>
      <c r="AU50" s="874"/>
      <c r="AV50" s="874"/>
      <c r="AW50" s="1144"/>
      <c r="AX50" s="1145"/>
      <c r="AY50" s="1145"/>
      <c r="AZ50" s="1145"/>
      <c r="BA50" s="1145"/>
      <c r="BB50" s="1145"/>
      <c r="BC50" s="1146"/>
    </row>
    <row r="51" spans="1:55" s="72" customFormat="1" ht="16.899999999999999" customHeight="1">
      <c r="A51" s="72">
        <v>0.16</v>
      </c>
      <c r="B51" s="72" t="str">
        <f>IF(LEN(AW51)=0,"",1+ABS((AW51*A51)/LEN(AW51))+A51)</f>
        <v/>
      </c>
      <c r="C51" s="1147" t="s">
        <v>2469</v>
      </c>
      <c r="D51" s="1148"/>
      <c r="E51" s="1148"/>
      <c r="F51" s="883" t="str">
        <f>CONCATENATE("za izmirenje obaveza iz ",YEAR(OsnPodaci!$A$58)-1,". godine i ranije prema izvođačima radova i isporučiocima opreme i drugima;")</f>
        <v>za izmirenje obaveza iz 2021. godine i ranije prema izvođačima radova i isporučiocima opreme i drugima;</v>
      </c>
      <c r="G51" s="876"/>
      <c r="H51" s="824"/>
      <c r="I51" s="824"/>
      <c r="J51" s="824"/>
      <c r="K51" s="824"/>
      <c r="L51" s="824"/>
      <c r="M51" s="824"/>
      <c r="N51" s="824"/>
      <c r="O51" s="824"/>
      <c r="P51" s="824"/>
      <c r="Q51" s="824"/>
      <c r="R51" s="824"/>
      <c r="S51" s="824"/>
      <c r="T51" s="824"/>
      <c r="U51" s="824"/>
      <c r="V51" s="824"/>
      <c r="W51" s="824"/>
      <c r="X51" s="824"/>
      <c r="Y51" s="824"/>
      <c r="Z51" s="824"/>
      <c r="AA51" s="824"/>
      <c r="AB51" s="824"/>
      <c r="AC51" s="824"/>
      <c r="AD51" s="824"/>
      <c r="AE51" s="824"/>
      <c r="AF51" s="824"/>
      <c r="AG51" s="824"/>
      <c r="AH51" s="824"/>
      <c r="AI51" s="824"/>
      <c r="AJ51" s="824"/>
      <c r="AK51" s="824"/>
      <c r="AL51" s="824"/>
      <c r="AM51" s="824"/>
      <c r="AN51" s="824"/>
      <c r="AO51" s="824"/>
      <c r="AP51" s="824"/>
      <c r="AQ51" s="824"/>
      <c r="AR51" s="824"/>
      <c r="AS51" s="824"/>
      <c r="AT51" s="824"/>
      <c r="AU51" s="824"/>
      <c r="AV51" s="824"/>
      <c r="AW51" s="1151"/>
      <c r="AX51" s="1152"/>
      <c r="AY51" s="1152"/>
      <c r="AZ51" s="1152"/>
      <c r="BA51" s="1152"/>
      <c r="BB51" s="1152"/>
      <c r="BC51" s="1153"/>
    </row>
    <row r="52" spans="1:55" s="72" customFormat="1" ht="16.899999999999999" customHeight="1">
      <c r="C52" s="1147"/>
      <c r="D52" s="1148"/>
      <c r="E52" s="1148"/>
      <c r="F52" s="883" t="str">
        <f>CONCATENATE("za otplatu iskorištenih komercijalnih kredita za investicije u ",YEAR(OsnPodaci!$A$58)-1,". godini i ranije kod preduzeća u zemlji i")</f>
        <v>za otplatu iskorištenih komercijalnih kredita za investicije u 2021. godini i ranije kod preduzeća u zemlji i</v>
      </c>
      <c r="G52" s="824"/>
      <c r="H52" s="824"/>
      <c r="I52" s="824"/>
      <c r="J52" s="824"/>
      <c r="K52" s="824"/>
      <c r="L52" s="824"/>
      <c r="M52" s="824"/>
      <c r="N52" s="824"/>
      <c r="O52" s="824"/>
      <c r="P52" s="824"/>
      <c r="Q52" s="824"/>
      <c r="R52" s="824"/>
      <c r="S52" s="824"/>
      <c r="T52" s="824"/>
      <c r="U52" s="824"/>
      <c r="V52" s="824"/>
      <c r="W52" s="824"/>
      <c r="X52" s="824"/>
      <c r="Y52" s="824"/>
      <c r="Z52" s="824"/>
      <c r="AA52" s="824"/>
      <c r="AB52" s="824"/>
      <c r="AC52" s="824"/>
      <c r="AD52" s="824"/>
      <c r="AE52" s="824"/>
      <c r="AF52" s="824"/>
      <c r="AG52" s="824"/>
      <c r="AH52" s="824"/>
      <c r="AI52" s="824"/>
      <c r="AJ52" s="824"/>
      <c r="AK52" s="824"/>
      <c r="AL52" s="824"/>
      <c r="AM52" s="824"/>
      <c r="AN52" s="824"/>
      <c r="AO52" s="824"/>
      <c r="AP52" s="824"/>
      <c r="AQ52" s="824"/>
      <c r="AR52" s="824"/>
      <c r="AS52" s="824"/>
      <c r="AT52" s="824"/>
      <c r="AU52" s="824"/>
      <c r="AV52" s="824"/>
      <c r="AW52" s="1151"/>
      <c r="AX52" s="1152"/>
      <c r="AY52" s="1152"/>
      <c r="AZ52" s="1152"/>
      <c r="BA52" s="1152"/>
      <c r="BB52" s="1152"/>
      <c r="BC52" s="1153"/>
    </row>
    <row r="53" spans="1:55" s="72" customFormat="1" ht="16.899999999999999" customHeight="1">
      <c r="C53" s="1149"/>
      <c r="D53" s="1150"/>
      <c r="E53" s="1150"/>
      <c r="F53" s="882" t="str">
        <f>CONCATENATE("inostranih preduzeća; za avanse date u ",YEAR(OsnPodaci!$A$58),". godini po odbitku obračunatog dijela pod 2.11.")</f>
        <v>inostranih preduzeća; za avanse date u 2022. godini po odbitku obračunatog dijela pod 2.11.</v>
      </c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4"/>
      <c r="Z53" s="874"/>
      <c r="AA53" s="874"/>
      <c r="AB53" s="874"/>
      <c r="AC53" s="874"/>
      <c r="AD53" s="874"/>
      <c r="AE53" s="874"/>
      <c r="AF53" s="874"/>
      <c r="AG53" s="874"/>
      <c r="AH53" s="874"/>
      <c r="AI53" s="874"/>
      <c r="AJ53" s="874"/>
      <c r="AK53" s="874"/>
      <c r="AL53" s="874"/>
      <c r="AM53" s="874"/>
      <c r="AN53" s="874"/>
      <c r="AO53" s="874"/>
      <c r="AP53" s="874"/>
      <c r="AQ53" s="874"/>
      <c r="AR53" s="874"/>
      <c r="AS53" s="874"/>
      <c r="AT53" s="874"/>
      <c r="AU53" s="874"/>
      <c r="AV53" s="874"/>
      <c r="AW53" s="1144"/>
      <c r="AX53" s="1145"/>
      <c r="AY53" s="1145"/>
      <c r="AZ53" s="1145"/>
      <c r="BA53" s="1145"/>
      <c r="BB53" s="1145"/>
      <c r="BC53" s="1146"/>
    </row>
    <row r="54" spans="1:55" s="72" customFormat="1" ht="16.899999999999999" customHeight="1">
      <c r="A54" s="72">
        <v>0.17</v>
      </c>
      <c r="B54" s="72" t="str">
        <f>IF(LEN(AW54)=0,"",1+ABS((AW54*A54)/LEN(AW54))+A54)</f>
        <v/>
      </c>
      <c r="C54" s="1154" t="s">
        <v>2470</v>
      </c>
      <c r="D54" s="1155"/>
      <c r="E54" s="1155"/>
      <c r="F54" s="880" t="str">
        <f>IF(OsnPodaci!A75="","Unijeti interval izvještavanja.","Izvršeni a neplaćeni radovi i nabavke u toku "&amp;TEXT(OsnPodaci!A58,"yyyy")&amp;". godine")</f>
        <v>Izvršeni a neplaćeni radovi i nabavke u toku 2022. godine</v>
      </c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824"/>
      <c r="AF54" s="824"/>
      <c r="AG54" s="824"/>
      <c r="AH54" s="824"/>
      <c r="AI54" s="824"/>
      <c r="AJ54" s="824"/>
      <c r="AK54" s="824"/>
      <c r="AL54" s="824"/>
      <c r="AM54" s="824"/>
      <c r="AN54" s="824"/>
      <c r="AO54" s="824"/>
      <c r="AP54" s="824"/>
      <c r="AQ54" s="824"/>
      <c r="AR54" s="824"/>
      <c r="AS54" s="824"/>
      <c r="AT54" s="824"/>
      <c r="AU54" s="824"/>
      <c r="AV54" s="824"/>
      <c r="AW54" s="1158"/>
      <c r="AX54" s="1159"/>
      <c r="AY54" s="1159"/>
      <c r="AZ54" s="1159"/>
      <c r="BA54" s="1159"/>
      <c r="BB54" s="1159"/>
      <c r="BC54" s="1160"/>
    </row>
    <row r="55" spans="1:55" s="72" customFormat="1" ht="16.899999999999999" customHeight="1">
      <c r="C55" s="1154"/>
      <c r="D55" s="1155"/>
      <c r="E55" s="1155"/>
      <c r="F55" s="884" t="str">
        <f>CONCATENATE("- neizmirene obaveze iz ostvarenih investicija u toku ",YEAR(OsnPodaci!$A$58),". godine prema izvođačima radova, isporučiocima")</f>
        <v>- neizmirene obaveze iz ostvarenih investicija u toku 2022. godine prema izvođačima radova, isporučiocima</v>
      </c>
      <c r="G55" s="876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4"/>
      <c r="AC55" s="824"/>
      <c r="AD55" s="824"/>
      <c r="AE55" s="824"/>
      <c r="AF55" s="824"/>
      <c r="AG55" s="824"/>
      <c r="AH55" s="824"/>
      <c r="AI55" s="824"/>
      <c r="AJ55" s="824"/>
      <c r="AK55" s="824"/>
      <c r="AL55" s="824"/>
      <c r="AM55" s="824"/>
      <c r="AN55" s="824"/>
      <c r="AO55" s="824"/>
      <c r="AP55" s="824"/>
      <c r="AQ55" s="824"/>
      <c r="AR55" s="824"/>
      <c r="AS55" s="824"/>
      <c r="AT55" s="824"/>
      <c r="AU55" s="824"/>
      <c r="AV55" s="824"/>
      <c r="AW55" s="1158"/>
      <c r="AX55" s="1159"/>
      <c r="AY55" s="1159"/>
      <c r="AZ55" s="1159"/>
      <c r="BA55" s="1159"/>
      <c r="BB55" s="1159"/>
      <c r="BC55" s="1160"/>
    </row>
    <row r="56" spans="1:55" s="72" customFormat="1" ht="16.899999999999999" customHeight="1">
      <c r="C56" s="1154"/>
      <c r="D56" s="1155"/>
      <c r="E56" s="1155"/>
      <c r="F56" s="883" t="str">
        <f>CONCATENATE("opreme i drugima; iskorišteni komercijalni krediti za investicije ostvarene u toku ",YEAR(OsnPodaci!$A$58),". godine kod preduzeća")</f>
        <v>opreme i drugima; iskorišteni komercijalni krediti za investicije ostvarene u toku 2022. godine kod preduzeća</v>
      </c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824"/>
      <c r="W56" s="824"/>
      <c r="X56" s="824"/>
      <c r="Y56" s="824"/>
      <c r="Z56" s="824"/>
      <c r="AA56" s="824"/>
      <c r="AB56" s="824"/>
      <c r="AC56" s="824"/>
      <c r="AD56" s="824"/>
      <c r="AE56" s="824"/>
      <c r="AF56" s="824"/>
      <c r="AG56" s="824"/>
      <c r="AH56" s="824"/>
      <c r="AI56" s="824"/>
      <c r="AJ56" s="824"/>
      <c r="AK56" s="824"/>
      <c r="AL56" s="824"/>
      <c r="AM56" s="824"/>
      <c r="AN56" s="824"/>
      <c r="AO56" s="824"/>
      <c r="AP56" s="824"/>
      <c r="AQ56" s="824"/>
      <c r="AR56" s="824"/>
      <c r="AS56" s="824"/>
      <c r="AT56" s="824"/>
      <c r="AU56" s="824"/>
      <c r="AV56" s="824"/>
      <c r="AW56" s="1158"/>
      <c r="AX56" s="1159"/>
      <c r="AY56" s="1159"/>
      <c r="AZ56" s="1159"/>
      <c r="BA56" s="1159"/>
      <c r="BB56" s="1159"/>
      <c r="BC56" s="1160"/>
    </row>
    <row r="57" spans="1:55" s="72" customFormat="1" ht="16.899999999999999" customHeight="1">
      <c r="C57" s="1154"/>
      <c r="D57" s="1155"/>
      <c r="E57" s="1155"/>
      <c r="F57" s="883" t="str">
        <f>CONCATENATE("u zemlji i inostranih preduzeća; plaćeni avansi u ranijim godinama, a obračunati u toku ",YEAR(OsnPodaci!$A$58),". godine za ")</f>
        <v xml:space="preserve">u zemlji i inostranih preduzeća; plaćeni avansi u ranijim godinama, a obračunati u toku 2022. godine za </v>
      </c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824"/>
      <c r="AF57" s="824"/>
      <c r="AG57" s="824"/>
      <c r="AH57" s="824"/>
      <c r="AI57" s="824"/>
      <c r="AJ57" s="824"/>
      <c r="AK57" s="824"/>
      <c r="AL57" s="824"/>
      <c r="AM57" s="824"/>
      <c r="AN57" s="824"/>
      <c r="AO57" s="824"/>
      <c r="AP57" s="824"/>
      <c r="AQ57" s="824"/>
      <c r="AR57" s="824"/>
      <c r="AS57" s="824"/>
      <c r="AT57" s="824"/>
      <c r="AU57" s="824"/>
      <c r="AV57" s="824"/>
      <c r="AW57" s="1158"/>
      <c r="AX57" s="1159"/>
      <c r="AY57" s="1159"/>
      <c r="AZ57" s="1159"/>
      <c r="BA57" s="1159"/>
      <c r="BB57" s="1159"/>
      <c r="BC57" s="1160"/>
    </row>
    <row r="58" spans="1:55" s="72" customFormat="1" ht="16.899999999999999" customHeight="1">
      <c r="C58" s="1156"/>
      <c r="D58" s="1157"/>
      <c r="E58" s="1157"/>
      <c r="F58" s="882" t="str">
        <f>CONCATENATE("izvršene radove i isporučenu opremu u ",YEAR(OsnPodaci!$A$58),". godini.")</f>
        <v>izvršene radove i isporučenu opremu u 2022. godini.</v>
      </c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4"/>
      <c r="X58" s="874"/>
      <c r="Y58" s="874"/>
      <c r="Z58" s="874"/>
      <c r="AA58" s="874"/>
      <c r="AB58" s="874"/>
      <c r="AC58" s="874"/>
      <c r="AD58" s="874"/>
      <c r="AE58" s="874"/>
      <c r="AF58" s="874"/>
      <c r="AG58" s="874"/>
      <c r="AH58" s="874"/>
      <c r="AI58" s="874"/>
      <c r="AJ58" s="874"/>
      <c r="AK58" s="874"/>
      <c r="AL58" s="874"/>
      <c r="AM58" s="874"/>
      <c r="AN58" s="874"/>
      <c r="AO58" s="874"/>
      <c r="AP58" s="874"/>
      <c r="AQ58" s="874"/>
      <c r="AR58" s="874"/>
      <c r="AS58" s="874"/>
      <c r="AT58" s="874"/>
      <c r="AU58" s="874"/>
      <c r="AV58" s="874"/>
      <c r="AW58" s="1161"/>
      <c r="AX58" s="1162"/>
      <c r="AY58" s="1162"/>
      <c r="AZ58" s="1162"/>
      <c r="BA58" s="1162"/>
      <c r="BB58" s="1162"/>
      <c r="BC58" s="1163"/>
    </row>
    <row r="59" spans="1:55" s="72" customFormat="1" ht="16.899999999999999" customHeight="1">
      <c r="A59" s="72">
        <v>0.18000000000000002</v>
      </c>
      <c r="B59" s="72" t="str">
        <f>IF(LEN(AW59)=0,"",1+ABS((AW59*A59)/LEN(AW59))+A59)</f>
        <v/>
      </c>
      <c r="C59" s="871" t="s">
        <v>2471</v>
      </c>
      <c r="D59" s="872"/>
      <c r="E59" s="872"/>
      <c r="F59" s="885" t="str">
        <f>IF(OsnPodaci!B58="","Unijeti interval izvještavanja.","Vrijednost ostvarenih investicija u "&amp;TEXT(OsnPodaci!B58,"yyyy")&amp;". godini (2.11+2.2)=Tab.3, Red.br.3., Kol.3.")</f>
        <v>Vrijednost ostvarenih investicija u 2022. godini (2.11+2.2)=Tab.3, Red.br.3., Kol.3.</v>
      </c>
      <c r="G59" s="877"/>
      <c r="H59" s="878"/>
      <c r="I59" s="878"/>
      <c r="J59" s="878"/>
      <c r="K59" s="878"/>
      <c r="L59" s="878"/>
      <c r="M59" s="878"/>
      <c r="N59" s="878"/>
      <c r="O59" s="878"/>
      <c r="P59" s="878"/>
      <c r="Q59" s="878"/>
      <c r="R59" s="878"/>
      <c r="S59" s="878"/>
      <c r="T59" s="878"/>
      <c r="U59" s="878"/>
      <c r="V59" s="878"/>
      <c r="W59" s="878"/>
      <c r="X59" s="878"/>
      <c r="Y59" s="878"/>
      <c r="Z59" s="878"/>
      <c r="AA59" s="878"/>
      <c r="AB59" s="878"/>
      <c r="AC59" s="878"/>
      <c r="AD59" s="878"/>
      <c r="AE59" s="878"/>
      <c r="AF59" s="878"/>
      <c r="AG59" s="878"/>
      <c r="AH59" s="878"/>
      <c r="AI59" s="878"/>
      <c r="AJ59" s="878"/>
      <c r="AK59" s="878"/>
      <c r="AL59" s="878"/>
      <c r="AM59" s="878"/>
      <c r="AN59" s="878"/>
      <c r="AO59" s="878"/>
      <c r="AP59" s="878"/>
      <c r="AQ59" s="878"/>
      <c r="AR59" s="878"/>
      <c r="AS59" s="878"/>
      <c r="AT59" s="878"/>
      <c r="AU59" s="878"/>
      <c r="AV59" s="878"/>
      <c r="AW59" s="1164" t="str">
        <f>IFERROR(IF(AND(AW50,AW54)="","",SUM(AW50)+SUM(AW54)),"")</f>
        <v/>
      </c>
      <c r="AX59" s="1165"/>
      <c r="AY59" s="1165"/>
      <c r="AZ59" s="1165"/>
      <c r="BA59" s="1165"/>
      <c r="BB59" s="1165"/>
      <c r="BC59" s="1166"/>
    </row>
    <row r="60" spans="1:55" s="72" customFormat="1" ht="16.899999999999999" customHeight="1">
      <c r="B60" s="62" t="str">
        <f>IF(ISERROR(ABS(LOG(ABS(SUM(B23:B59)),EXP(3)))),"",ABS(LOG(ABS(SUM(B23:B59)),EXP(3))))</f>
        <v/>
      </c>
      <c r="C60" s="886" t="s">
        <v>2472</v>
      </c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3"/>
      <c r="AC60" s="634"/>
      <c r="AD60" s="634"/>
      <c r="AE60" s="634"/>
      <c r="AF60" s="634"/>
      <c r="AG60" s="634"/>
      <c r="AH60" s="634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886"/>
    </row>
    <row r="61" spans="1:55" s="72" customFormat="1">
      <c r="B61" s="72" t="str">
        <f>IF(ISERROR(IF(ISERROR(MID(B60,FIND(".",B60,1)+12,13)),MID(B60,FIND(",",B60,1)+12,13),MID(B60,FIND(".",B60,1)+12,13))),"",IF(ISERROR(MID(B60,FIND(".",B60,1)+12,13)),MID(B60,FIND(",",B60,1)+12,13),MID(B60,FIND(".",B60,1)+12,13)))</f>
        <v/>
      </c>
      <c r="C61" s="636"/>
      <c r="D61" s="633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</row>
    <row r="62" spans="1:55" s="72" customFormat="1" ht="21.75" customHeight="1">
      <c r="C62" s="1142" t="s">
        <v>2473</v>
      </c>
      <c r="D62" s="1142"/>
      <c r="E62" s="1142"/>
      <c r="F62" s="1142"/>
      <c r="G62" s="1142"/>
      <c r="H62" s="1142"/>
      <c r="I62" s="1142"/>
      <c r="J62" s="1142"/>
      <c r="K62" s="1142"/>
      <c r="L62" s="1142"/>
      <c r="M62" s="1142"/>
      <c r="N62" s="1142"/>
      <c r="O62" s="1142"/>
      <c r="P62" s="1142"/>
      <c r="Q62" s="1142"/>
      <c r="R62" s="1142"/>
      <c r="S62" s="1142"/>
      <c r="T62" s="1142"/>
      <c r="U62" s="1142"/>
      <c r="V62" s="1142"/>
      <c r="W62" s="1142"/>
      <c r="X62" s="1142"/>
      <c r="Y62" s="1142"/>
      <c r="Z62" s="1142"/>
      <c r="AA62" s="1142"/>
      <c r="AB62" s="1142"/>
      <c r="AC62" s="1142"/>
      <c r="AD62" s="1142"/>
      <c r="AE62" s="1142"/>
      <c r="AF62" s="1142"/>
      <c r="AG62" s="1142"/>
      <c r="AH62" s="1142"/>
      <c r="AI62" s="1142"/>
      <c r="AJ62" s="1142"/>
      <c r="AK62" s="1142"/>
      <c r="AL62" s="1142"/>
      <c r="AM62" s="1142"/>
      <c r="AN62" s="1142"/>
      <c r="AO62" s="1142"/>
      <c r="AP62" s="1142"/>
      <c r="AQ62" s="1142"/>
      <c r="AR62" s="1142"/>
      <c r="AS62" s="1142"/>
      <c r="AT62" s="1142"/>
      <c r="AU62" s="1142"/>
      <c r="AV62" s="1142"/>
      <c r="AW62" s="1142"/>
      <c r="AX62" s="1142"/>
      <c r="AY62" s="1142"/>
      <c r="AZ62" s="1142"/>
      <c r="BA62" s="1142"/>
      <c r="BB62" s="1142"/>
      <c r="BC62" s="1142"/>
    </row>
    <row r="63" spans="1:55" s="72" customFormat="1" ht="19.5" customHeight="1">
      <c r="A63" s="83"/>
      <c r="B63" s="83"/>
      <c r="C63" s="887" t="str">
        <f>IF('INV01-1'!B61&amp;'INV01-2'!E83&amp;'INV01-2'!F83&amp;'INV01-2'!G83&amp;'INV01-2'!H83="","Obrazac prazan - unesite cifru na barem jednu poziciju.","Kontrolni broj: "&amp;MID('INV01-1'!BE1,2,LEN('INV01-1'!BE1)-2))</f>
        <v>Obrazac prazan - unesite cifru na barem jednu poziciju.</v>
      </c>
      <c r="D63" s="888"/>
      <c r="E63" s="889"/>
      <c r="F63" s="637"/>
      <c r="G63" s="637"/>
      <c r="H63" s="637"/>
      <c r="I63" s="638"/>
      <c r="J63" s="638"/>
      <c r="K63" s="638"/>
      <c r="L63" s="638"/>
      <c r="M63" s="638"/>
      <c r="N63" s="638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638"/>
      <c r="AE63" s="638"/>
      <c r="AF63" s="638"/>
      <c r="AG63" s="638"/>
      <c r="AH63" s="638"/>
      <c r="AI63" s="638"/>
      <c r="AJ63" s="638"/>
      <c r="AK63" s="638"/>
      <c r="AL63" s="638"/>
      <c r="AM63" s="638"/>
      <c r="AN63" s="638"/>
      <c r="AO63" s="638"/>
      <c r="AP63" s="638"/>
      <c r="AQ63" s="638"/>
      <c r="AR63" s="638"/>
      <c r="AS63" s="638"/>
      <c r="AT63" s="638"/>
      <c r="AU63" s="638"/>
      <c r="AV63" s="638"/>
      <c r="AW63" s="638"/>
      <c r="AX63" s="638"/>
      <c r="AY63" s="638"/>
      <c r="AZ63" s="638"/>
      <c r="BA63" s="638"/>
      <c r="BB63" s="638"/>
      <c r="BC63" s="890" t="s">
        <v>2474</v>
      </c>
    </row>
    <row r="64" spans="1:55" s="72" customFormat="1" ht="16.899999999999999" customHeight="1">
      <c r="C64" s="84"/>
      <c r="D64" s="8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6"/>
      <c r="AP64" s="86"/>
      <c r="AQ64" s="86"/>
      <c r="AR64" s="86"/>
      <c r="AS64" s="86"/>
      <c r="AT64" s="86"/>
      <c r="AU64" s="86"/>
      <c r="AV64" s="86"/>
      <c r="BC64" s="87"/>
    </row>
  </sheetData>
  <sheetProtection sheet="1" objects="1" scenarios="1"/>
  <mergeCells count="37">
    <mergeCell ref="C7:BC7"/>
    <mergeCell ref="C6:BC6"/>
    <mergeCell ref="AW25:BC25"/>
    <mergeCell ref="AW23:BC24"/>
    <mergeCell ref="C23:E24"/>
    <mergeCell ref="AW21:BC22"/>
    <mergeCell ref="C21:E22"/>
    <mergeCell ref="BE1:BE31"/>
    <mergeCell ref="AQ2:BC2"/>
    <mergeCell ref="AQ3:BC3"/>
    <mergeCell ref="C62:BC62"/>
    <mergeCell ref="G1:Z1"/>
    <mergeCell ref="G2:Z2"/>
    <mergeCell ref="G3:Z3"/>
    <mergeCell ref="G4:Z4"/>
    <mergeCell ref="AW50:BC50"/>
    <mergeCell ref="C51:E53"/>
    <mergeCell ref="AW51:BC53"/>
    <mergeCell ref="C54:E58"/>
    <mergeCell ref="AW54:BC58"/>
    <mergeCell ref="AW59:BC59"/>
    <mergeCell ref="C48:E49"/>
    <mergeCell ref="AW48:BC49"/>
    <mergeCell ref="AW34:BC34"/>
    <mergeCell ref="C35:E36"/>
    <mergeCell ref="AW35:BC36"/>
    <mergeCell ref="AW37:BC37"/>
    <mergeCell ref="C46:E47"/>
    <mergeCell ref="AW46:BC47"/>
    <mergeCell ref="AW32:BC32"/>
    <mergeCell ref="AW33:BC33"/>
    <mergeCell ref="AW31:BC31"/>
    <mergeCell ref="AW26:BC26"/>
    <mergeCell ref="AW27:BC27"/>
    <mergeCell ref="AW28:BC28"/>
    <mergeCell ref="AW29:BC29"/>
    <mergeCell ref="AW30:BC30"/>
  </mergeCells>
  <conditionalFormatting sqref="C63">
    <cfRule type="containsText" dxfId="22" priority="2" operator="containsText" text="Obrazac prazan">
      <formula>NOT(ISERROR(SEARCH("Obrazac prazan",C63)))</formula>
    </cfRule>
  </conditionalFormatting>
  <dataValidations count="1">
    <dataValidation type="whole" allowBlank="1" showInputMessage="1" showErrorMessage="1" sqref="AW25:BC37 AW48:BC59" xr:uid="{00000000-0002-0000-0900-000000000000}">
      <formula1>-9.99999E+307</formula1>
      <formula2>9.99999E+307</formula2>
    </dataValidation>
  </dataValidations>
  <pageMargins left="0.82677165354330706" right="0.19685039370078741" top="0.31496062992125984" bottom="0.27559055118110237" header="0.51181102362204722" footer="0.51181102362204722"/>
  <pageSetup paperSize="9" scale="8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E490561-D689-4BE1-8C67-1B65C397456E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D8:BE8 C1:BE7 C19:AS19 C9:K9 M9:BE9 C10:BE10 BD11:BE11 C11:P11 R11:T11 V11:BB11 C18:BE18 BD17:BE17 C17:P17 S17:BB17 C12:BE12 C16:BE16 AU13:BE15 X13:AA13 AC13 X14:AC14 X15:AA15 AC15 AE13:AS15 C13:H15 J13:V15 BD46:BE63 C20:BE24 C25:O25 Q25:BE25 C26:BE32 C34:BE45 C33:O33 Q33:BE33 BA19:BE19 AW19:AX19</xm:sqref>
        </x14:conditionalFormatting>
        <x14:conditionalFormatting xmlns:xm="http://schemas.microsoft.com/office/excel/2006/main">
          <x14:cfRule type="expression" priority="1" id="{3845728E-3F45-49F0-89FF-FE88609395D9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C46:BC63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>
    <tabColor theme="7" tint="-0.499984740745262"/>
    <pageSetUpPr fitToPage="1"/>
  </sheetPr>
  <dimension ref="A1:CQ97"/>
  <sheetViews>
    <sheetView showGridLines="0" view="pageLayout" topLeftCell="J1" zoomScale="90" zoomScaleNormal="100" zoomScalePageLayoutView="90" workbookViewId="0">
      <selection activeCell="BZ45" sqref="BZ45:CE45"/>
    </sheetView>
  </sheetViews>
  <sheetFormatPr defaultColWidth="9.140625" defaultRowHeight="16.5"/>
  <cols>
    <col min="1" max="4" width="9.140625" hidden="1" customWidth="1"/>
    <col min="5" max="8" width="17" hidden="1" customWidth="1"/>
    <col min="9" max="9" width="9.140625" hidden="1" customWidth="1"/>
    <col min="10" max="10" width="6.5703125" style="739" customWidth="1"/>
    <col min="11" max="39" width="2.28515625" style="9" customWidth="1"/>
    <col min="40" max="71" width="2.5703125" style="9" customWidth="1"/>
    <col min="72" max="95" width="2.5703125" style="73" customWidth="1"/>
    <col min="96" max="128" width="2.42578125" style="73" customWidth="1"/>
    <col min="129" max="130" width="9.140625" style="73" customWidth="1"/>
    <col min="131" max="16384" width="9.140625" style="73"/>
  </cols>
  <sheetData>
    <row r="1" spans="1:95" s="633" customFormat="1" ht="21" customHeight="1">
      <c r="A1" s="740"/>
      <c r="B1" s="740"/>
      <c r="C1" s="740"/>
      <c r="D1" s="740"/>
      <c r="E1" s="740"/>
      <c r="F1" s="740"/>
      <c r="G1" s="740"/>
      <c r="H1" s="740"/>
      <c r="I1" s="740"/>
      <c r="J1" s="639" t="str">
        <f>IF(OsnPodaci!B58="","Unijeti interval izvještavanja.","TABELA 3. TEHNIČKA STRUKTURA OSTVARENIH INVESTICIJA U STALNA SREDSTVA U "&amp;TEXT(OsnPodaci!A58,"yyyy")&amp;". GODINI")</f>
        <v>TABELA 3. TEHNIČKA STRUKTURA OSTVARENIH INVESTICIJA U STALNA SREDSTVA U 2022. GODINI</v>
      </c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4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BC1" s="635"/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CQ1" s="988" t="s">
        <v>2475</v>
      </c>
    </row>
    <row r="2" spans="1:95" s="633" customFormat="1" ht="15" customHeight="1">
      <c r="A2" s="740"/>
      <c r="B2" s="740"/>
      <c r="C2" s="740"/>
      <c r="D2" s="740"/>
      <c r="E2" s="740"/>
      <c r="F2" s="740"/>
      <c r="G2" s="740"/>
      <c r="H2" s="740"/>
      <c r="I2" s="740"/>
      <c r="J2" s="1318" t="s">
        <v>2085</v>
      </c>
      <c r="K2" s="1338"/>
      <c r="L2" s="1339"/>
      <c r="M2" s="1339"/>
      <c r="N2" s="1339"/>
      <c r="O2" s="1339"/>
      <c r="P2" s="1339"/>
      <c r="Q2" s="1339"/>
      <c r="R2" s="1339"/>
      <c r="S2" s="1339"/>
      <c r="T2" s="1339"/>
      <c r="U2" s="1339"/>
      <c r="V2" s="1339"/>
      <c r="W2" s="1339"/>
      <c r="X2" s="1339"/>
      <c r="Y2" s="1339"/>
      <c r="Z2" s="1339"/>
      <c r="AA2" s="1339"/>
      <c r="AB2" s="1339"/>
      <c r="AC2" s="1339"/>
      <c r="AD2" s="1339"/>
      <c r="AE2" s="1339"/>
      <c r="AF2" s="1339"/>
      <c r="AG2" s="1339"/>
      <c r="AH2" s="1339"/>
      <c r="AI2" s="1339"/>
      <c r="AJ2" s="1339"/>
      <c r="AK2" s="1339"/>
      <c r="AL2" s="1339"/>
      <c r="AM2" s="1339"/>
      <c r="AN2" s="1339"/>
      <c r="AO2" s="1339"/>
      <c r="AP2" s="1339"/>
      <c r="AQ2" s="1339"/>
      <c r="AR2" s="1339"/>
      <c r="AS2" s="1339"/>
      <c r="AT2" s="1339"/>
      <c r="AU2" s="1339"/>
      <c r="AV2" s="1339"/>
      <c r="AW2" s="1339"/>
      <c r="AX2" s="1339"/>
      <c r="AY2" s="1339"/>
      <c r="AZ2" s="1339"/>
      <c r="BA2" s="1339"/>
      <c r="BB2" s="1339"/>
      <c r="BC2" s="1339"/>
      <c r="BD2" s="1339"/>
      <c r="BE2" s="1339"/>
      <c r="BF2" s="1339"/>
      <c r="BG2" s="1339"/>
      <c r="BH2" s="1339"/>
      <c r="BI2" s="1339"/>
      <c r="BJ2" s="1339"/>
      <c r="BK2" s="1339"/>
      <c r="BL2" s="1339"/>
      <c r="BM2" s="1339"/>
      <c r="BN2" s="1339"/>
      <c r="BO2" s="1339"/>
      <c r="BP2" s="1339"/>
      <c r="BQ2" s="1339"/>
      <c r="BR2" s="1339"/>
      <c r="BS2" s="1340"/>
      <c r="BT2" s="1341" t="s">
        <v>2476</v>
      </c>
      <c r="BU2" s="1326"/>
      <c r="BV2" s="1326"/>
      <c r="BW2" s="1326"/>
      <c r="BX2" s="1326"/>
      <c r="BY2" s="1326"/>
      <c r="BZ2" s="1343" t="s">
        <v>2477</v>
      </c>
      <c r="CA2" s="1326"/>
      <c r="CB2" s="1326"/>
      <c r="CC2" s="1326"/>
      <c r="CD2" s="1326"/>
      <c r="CE2" s="1326"/>
      <c r="CF2" s="1343" t="s">
        <v>2478</v>
      </c>
      <c r="CG2" s="1326"/>
      <c r="CH2" s="1326"/>
      <c r="CI2" s="1326"/>
      <c r="CJ2" s="1326"/>
      <c r="CK2" s="1345"/>
      <c r="CL2" s="1326" t="s">
        <v>2479</v>
      </c>
      <c r="CM2" s="1326"/>
      <c r="CN2" s="1326"/>
      <c r="CO2" s="1326"/>
      <c r="CP2" s="1326"/>
      <c r="CQ2" s="1327"/>
    </row>
    <row r="3" spans="1:95" s="633" customFormat="1" ht="35.25" customHeight="1">
      <c r="A3" s="740"/>
      <c r="B3" s="740"/>
      <c r="C3" s="740"/>
      <c r="D3" s="740"/>
      <c r="E3" s="740"/>
      <c r="F3" s="740"/>
      <c r="G3" s="740"/>
      <c r="H3" s="740"/>
      <c r="I3" s="740"/>
      <c r="J3" s="1319"/>
      <c r="K3" s="1330"/>
      <c r="L3" s="1331"/>
      <c r="M3" s="1331"/>
      <c r="N3" s="1331"/>
      <c r="O3" s="1331"/>
      <c r="P3" s="1331"/>
      <c r="Q3" s="1331"/>
      <c r="R3" s="1331"/>
      <c r="S3" s="1331"/>
      <c r="T3" s="1331"/>
      <c r="U3" s="1331"/>
      <c r="V3" s="1331"/>
      <c r="W3" s="1331"/>
      <c r="X3" s="1331"/>
      <c r="Y3" s="1331"/>
      <c r="Z3" s="1331"/>
      <c r="AA3" s="1331"/>
      <c r="AB3" s="1331"/>
      <c r="AC3" s="1331"/>
      <c r="AD3" s="1331"/>
      <c r="AE3" s="1331"/>
      <c r="AF3" s="1331"/>
      <c r="AG3" s="1331"/>
      <c r="AH3" s="1331"/>
      <c r="AI3" s="1331"/>
      <c r="AJ3" s="1331"/>
      <c r="AK3" s="1331"/>
      <c r="AL3" s="1331"/>
      <c r="AM3" s="1331"/>
      <c r="AN3" s="1331"/>
      <c r="AO3" s="1331"/>
      <c r="AP3" s="1331"/>
      <c r="AQ3" s="1331"/>
      <c r="AR3" s="1331"/>
      <c r="AS3" s="1331"/>
      <c r="AT3" s="1331"/>
      <c r="AU3" s="1331"/>
      <c r="AV3" s="1331"/>
      <c r="AW3" s="1331"/>
      <c r="AX3" s="1331"/>
      <c r="AY3" s="1331"/>
      <c r="AZ3" s="1331"/>
      <c r="BA3" s="1331"/>
      <c r="BB3" s="1331"/>
      <c r="BC3" s="1331"/>
      <c r="BD3" s="1331"/>
      <c r="BE3" s="1331"/>
      <c r="BF3" s="1331"/>
      <c r="BG3" s="1331"/>
      <c r="BH3" s="1331"/>
      <c r="BI3" s="1331"/>
      <c r="BJ3" s="1331"/>
      <c r="BK3" s="1331"/>
      <c r="BL3" s="1331"/>
      <c r="BM3" s="1331"/>
      <c r="BN3" s="1331"/>
      <c r="BO3" s="1331"/>
      <c r="BP3" s="1331"/>
      <c r="BQ3" s="1331"/>
      <c r="BR3" s="1331"/>
      <c r="BS3" s="1332"/>
      <c r="BT3" s="1342"/>
      <c r="BU3" s="1328"/>
      <c r="BV3" s="1328"/>
      <c r="BW3" s="1328"/>
      <c r="BX3" s="1328"/>
      <c r="BY3" s="1328"/>
      <c r="BZ3" s="1344"/>
      <c r="CA3" s="1328"/>
      <c r="CB3" s="1328"/>
      <c r="CC3" s="1328"/>
      <c r="CD3" s="1328"/>
      <c r="CE3" s="1328"/>
      <c r="CF3" s="1344"/>
      <c r="CG3" s="1328"/>
      <c r="CH3" s="1328"/>
      <c r="CI3" s="1328"/>
      <c r="CJ3" s="1328"/>
      <c r="CK3" s="1346"/>
      <c r="CL3" s="1328"/>
      <c r="CM3" s="1328"/>
      <c r="CN3" s="1328"/>
      <c r="CO3" s="1328"/>
      <c r="CP3" s="1328"/>
      <c r="CQ3" s="1329"/>
    </row>
    <row r="4" spans="1:95" s="741" customFormat="1" ht="15" customHeight="1">
      <c r="A4" s="740"/>
      <c r="B4" s="740"/>
      <c r="C4" s="740"/>
      <c r="D4" s="740"/>
      <c r="E4" s="740"/>
      <c r="F4" s="740"/>
      <c r="G4" s="740"/>
      <c r="H4" s="740"/>
      <c r="I4" s="740"/>
      <c r="J4" s="641" t="s">
        <v>2480</v>
      </c>
      <c r="K4" s="1334">
        <v>2</v>
      </c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0"/>
      <c r="AG4" s="1320"/>
      <c r="AH4" s="1320"/>
      <c r="AI4" s="1320"/>
      <c r="AJ4" s="1320"/>
      <c r="AK4" s="1320"/>
      <c r="AL4" s="1320"/>
      <c r="AM4" s="1320"/>
      <c r="AN4" s="1320"/>
      <c r="AO4" s="1320"/>
      <c r="AP4" s="1320"/>
      <c r="AQ4" s="1320"/>
      <c r="AR4" s="1320"/>
      <c r="AS4" s="1320"/>
      <c r="AT4" s="1320"/>
      <c r="AU4" s="1320"/>
      <c r="AV4" s="1320"/>
      <c r="AW4" s="1320"/>
      <c r="AX4" s="1320"/>
      <c r="AY4" s="1320"/>
      <c r="AZ4" s="1320"/>
      <c r="BA4" s="1320"/>
      <c r="BB4" s="1320"/>
      <c r="BC4" s="1320"/>
      <c r="BD4" s="1320"/>
      <c r="BE4" s="1320"/>
      <c r="BF4" s="1320"/>
      <c r="BG4" s="1320"/>
      <c r="BH4" s="1320"/>
      <c r="BI4" s="1320"/>
      <c r="BJ4" s="1320"/>
      <c r="BK4" s="1320"/>
      <c r="BL4" s="1320"/>
      <c r="BM4" s="1320"/>
      <c r="BN4" s="1320"/>
      <c r="BO4" s="1320"/>
      <c r="BP4" s="1320"/>
      <c r="BQ4" s="1320"/>
      <c r="BR4" s="1320"/>
      <c r="BS4" s="1335"/>
      <c r="BT4" s="1320">
        <v>3</v>
      </c>
      <c r="BU4" s="1320"/>
      <c r="BV4" s="1320"/>
      <c r="BW4" s="1320"/>
      <c r="BX4" s="1320"/>
      <c r="BY4" s="1320"/>
      <c r="BZ4" s="1336">
        <v>4</v>
      </c>
      <c r="CA4" s="1320"/>
      <c r="CB4" s="1320"/>
      <c r="CC4" s="1320"/>
      <c r="CD4" s="1320"/>
      <c r="CE4" s="1320"/>
      <c r="CF4" s="1336">
        <v>5</v>
      </c>
      <c r="CG4" s="1320"/>
      <c r="CH4" s="1320"/>
      <c r="CI4" s="1320"/>
      <c r="CJ4" s="1320"/>
      <c r="CK4" s="1337"/>
      <c r="CL4" s="1320">
        <v>6</v>
      </c>
      <c r="CM4" s="1320"/>
      <c r="CN4" s="1320"/>
      <c r="CO4" s="1320"/>
      <c r="CP4" s="1320"/>
      <c r="CQ4" s="1321"/>
    </row>
    <row r="5" spans="1:95" s="633" customFormat="1" ht="18">
      <c r="A5" s="740">
        <v>0.01</v>
      </c>
      <c r="B5" s="740">
        <v>0.4100000000000002</v>
      </c>
      <c r="C5" s="740">
        <v>0.8100000000000005</v>
      </c>
      <c r="D5" s="740">
        <v>1.2200000000000002</v>
      </c>
      <c r="E5" s="740" t="str">
        <f t="shared" ref="E5:E45" si="0">IF(LEN(BT5)=0,"",1+ABS((BT5*A5)/LEN(BT5))+A5)</f>
        <v/>
      </c>
      <c r="F5" s="740" t="str">
        <f t="shared" ref="F5:F44" si="1">IF(LEN(BZ5)=0,"",1+ABS((BZ5*B5)/LEN(BZ5))+B5)</f>
        <v/>
      </c>
      <c r="G5" s="740" t="str">
        <f t="shared" ref="G5:G10" si="2">IF(LEN(CF5)=0,"",1+ABS((CF5*C5)/LEN(CF5))+C5)</f>
        <v/>
      </c>
      <c r="H5" s="740" t="str">
        <f t="shared" ref="H5:H10" si="3">IF(LEN(CL5)=0,"",1+ABS((CL5*D5)/LEN(CL5))+D5)</f>
        <v/>
      </c>
      <c r="I5" s="740"/>
      <c r="J5" s="642" t="s">
        <v>2101</v>
      </c>
      <c r="K5" s="643" t="s">
        <v>2481</v>
      </c>
      <c r="L5" s="644"/>
      <c r="M5" s="644"/>
      <c r="N5" s="644"/>
      <c r="O5" s="644"/>
      <c r="P5" s="644"/>
      <c r="Q5" s="644"/>
      <c r="R5" s="644"/>
      <c r="S5" s="645"/>
      <c r="T5" s="644"/>
      <c r="U5" s="644"/>
      <c r="V5" s="645"/>
      <c r="W5" s="645"/>
      <c r="X5" s="645"/>
      <c r="Y5" s="646"/>
      <c r="Z5" s="644"/>
      <c r="AA5" s="644"/>
      <c r="AB5" s="644"/>
      <c r="AC5" s="644"/>
      <c r="AD5" s="635"/>
      <c r="AG5" s="635" t="str">
        <f>IF(OsnPodaci!B58="","Unijeti interval izvještavanja.","u "&amp;TEXT(OsnPodaci!A58,"yyyy")&amp;". godini = Tabela 2., Red. broj 2.3 = (zbir 3.1 + 3.3 + 3.5 + 3.6 + 3.7)")</f>
        <v>u 2022. godini = Tabela 2., Red. broj 2.3 = (zbir 3.1 + 3.3 + 3.5 + 3.6 + 3.7)</v>
      </c>
      <c r="AH5" s="644"/>
      <c r="AI5" s="644"/>
      <c r="AJ5" s="644"/>
      <c r="AK5" s="644"/>
      <c r="AL5" s="644"/>
      <c r="AM5" s="644"/>
      <c r="AN5" s="644"/>
      <c r="AO5" s="644"/>
      <c r="AP5" s="644"/>
      <c r="AQ5" s="644"/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4"/>
      <c r="BF5" s="644"/>
      <c r="BG5" s="644"/>
      <c r="BH5" s="644"/>
      <c r="BI5" s="644"/>
      <c r="BJ5" s="644"/>
      <c r="BK5" s="644"/>
      <c r="BL5" s="644"/>
      <c r="BM5" s="644"/>
      <c r="BN5" s="644"/>
      <c r="BO5" s="644"/>
      <c r="BP5" s="644"/>
      <c r="BQ5" s="644"/>
      <c r="BR5" s="644"/>
      <c r="BS5" s="647"/>
      <c r="BT5" s="1286" t="str">
        <f>IFERROR(IF(AND(BZ5,CF5)="","",SUM(BZ5)+SUM(CF5)),"")</f>
        <v/>
      </c>
      <c r="BU5" s="1286"/>
      <c r="BV5" s="1286"/>
      <c r="BW5" s="1286"/>
      <c r="BX5" s="1286"/>
      <c r="BY5" s="1286"/>
      <c r="BZ5" s="1322" t="str">
        <f>IFERROR(IF(AND(BZ6,BZ12,BZ28,BZ31,BZ41)="","",SUM(BZ6)+SUM(BZ12)+SUM(BZ28)+SUM(BZ31)+SUM(BZ41)),"")</f>
        <v/>
      </c>
      <c r="CA5" s="1286"/>
      <c r="CB5" s="1286"/>
      <c r="CC5" s="1286"/>
      <c r="CD5" s="1286"/>
      <c r="CE5" s="1286"/>
      <c r="CF5" s="1322" t="str">
        <f>IFERROR(IF(AND(CF6,CF12,CF28,CF31)="","",SUM(CF6)+SUM(CF12)+SUM(CF28)+SUM(CF31)),"")</f>
        <v/>
      </c>
      <c r="CG5" s="1286"/>
      <c r="CH5" s="1286"/>
      <c r="CI5" s="1286"/>
      <c r="CJ5" s="1286"/>
      <c r="CK5" s="1287"/>
      <c r="CL5" s="1322" t="str">
        <f>IFERROR(IF(AND(CL6,CL12,CL28,CL31)="","",SUM(CL6)+SUM(CL12)+SUM(CL28)+SUM(CL31)),"")</f>
        <v/>
      </c>
      <c r="CM5" s="1286"/>
      <c r="CN5" s="1286"/>
      <c r="CO5" s="1286"/>
      <c r="CP5" s="1286"/>
      <c r="CQ5" s="1323"/>
    </row>
    <row r="6" spans="1:95" s="633" customFormat="1" ht="14.25">
      <c r="A6" s="740">
        <v>0.02</v>
      </c>
      <c r="B6" s="740">
        <v>0.42000000000000021</v>
      </c>
      <c r="C6" s="740">
        <v>0.82000000000000051</v>
      </c>
      <c r="D6" s="740">
        <v>1.2300000000000002</v>
      </c>
      <c r="E6" s="740" t="str">
        <f t="shared" si="0"/>
        <v/>
      </c>
      <c r="F6" s="740" t="str">
        <f t="shared" si="1"/>
        <v/>
      </c>
      <c r="G6" s="740" t="str">
        <f t="shared" si="2"/>
        <v/>
      </c>
      <c r="H6" s="740" t="str">
        <f t="shared" si="3"/>
        <v/>
      </c>
      <c r="I6" s="740"/>
      <c r="J6" s="648" t="s">
        <v>2482</v>
      </c>
      <c r="K6" s="1313" t="s">
        <v>2483</v>
      </c>
      <c r="L6" s="1314"/>
      <c r="M6" s="1314"/>
      <c r="N6" s="1314"/>
      <c r="O6" s="1314"/>
      <c r="P6" s="1314"/>
      <c r="Q6" s="1314"/>
      <c r="R6" s="1314"/>
      <c r="S6" s="1314"/>
      <c r="T6" s="1314"/>
      <c r="U6" s="1314"/>
      <c r="V6" s="1314"/>
      <c r="W6" s="1314"/>
      <c r="X6" s="1314"/>
      <c r="Y6" s="1314"/>
      <c r="Z6" s="1314"/>
      <c r="AA6" s="1314"/>
      <c r="AB6" s="1314"/>
      <c r="AC6" s="1314"/>
      <c r="AD6" s="1314"/>
      <c r="AE6" s="1314"/>
      <c r="AF6" s="1314"/>
      <c r="AG6" s="1314"/>
      <c r="AH6" s="1314"/>
      <c r="AI6" s="1314"/>
      <c r="AJ6" s="1314"/>
      <c r="AK6" s="1314"/>
      <c r="AL6" s="1314"/>
      <c r="AM6" s="1314"/>
      <c r="AN6" s="1314"/>
      <c r="AO6" s="1314"/>
      <c r="AP6" s="1314"/>
      <c r="AQ6" s="1314"/>
      <c r="AR6" s="1314"/>
      <c r="AS6" s="1314"/>
      <c r="AT6" s="1314"/>
      <c r="AU6" s="1314"/>
      <c r="AV6" s="1314"/>
      <c r="AW6" s="1314"/>
      <c r="AX6" s="1314"/>
      <c r="AY6" s="1314"/>
      <c r="AZ6" s="1314"/>
      <c r="BA6" s="1314"/>
      <c r="BB6" s="1314"/>
      <c r="BC6" s="1314"/>
      <c r="BD6" s="1314"/>
      <c r="BE6" s="1314"/>
      <c r="BF6" s="1314"/>
      <c r="BG6" s="1314"/>
      <c r="BH6" s="1314"/>
      <c r="BI6" s="1314"/>
      <c r="BJ6" s="1314"/>
      <c r="BK6" s="1314"/>
      <c r="BL6" s="1314"/>
      <c r="BM6" s="1314"/>
      <c r="BN6" s="1314"/>
      <c r="BO6" s="1314"/>
      <c r="BP6" s="1314"/>
      <c r="BQ6" s="1314"/>
      <c r="BR6" s="1314"/>
      <c r="BS6" s="1315"/>
      <c r="BT6" s="1238" t="str">
        <f t="shared" ref="BT6:BT10" si="4">IFERROR(IF(AND(BZ6,CF6)="","",SUM(BZ6)+SUM(CF6)),"")</f>
        <v/>
      </c>
      <c r="BU6" s="1238"/>
      <c r="BV6" s="1238"/>
      <c r="BW6" s="1238"/>
      <c r="BX6" s="1238"/>
      <c r="BY6" s="1238"/>
      <c r="BZ6" s="1305" t="str">
        <f>IFERROR(IF(AND(BZ7,BZ8)="","",SUM(BZ7)+SUM(BZ8)),"")</f>
        <v/>
      </c>
      <c r="CA6" s="1238"/>
      <c r="CB6" s="1238"/>
      <c r="CC6" s="1238"/>
      <c r="CD6" s="1238"/>
      <c r="CE6" s="1238"/>
      <c r="CF6" s="1305" t="str">
        <f>IFERROR(IF(AND(CF7,CF8)="","",SUM(CF7)+SUM(CF8)),"")</f>
        <v/>
      </c>
      <c r="CG6" s="1238"/>
      <c r="CH6" s="1238"/>
      <c r="CI6" s="1238"/>
      <c r="CJ6" s="1238"/>
      <c r="CK6" s="1239"/>
      <c r="CL6" s="1305" t="str">
        <f>IFERROR(IF(AND(CL7,CL8)="","",SUM(CL7)+SUM(CL8)),"")</f>
        <v/>
      </c>
      <c r="CM6" s="1238"/>
      <c r="CN6" s="1238"/>
      <c r="CO6" s="1238"/>
      <c r="CP6" s="1238"/>
      <c r="CQ6" s="1306"/>
    </row>
    <row r="7" spans="1:95" s="633" customFormat="1" ht="14.25">
      <c r="A7" s="740">
        <v>0.03</v>
      </c>
      <c r="B7" s="740">
        <v>0.43000000000000022</v>
      </c>
      <c r="C7" s="740">
        <v>0.83000000000000052</v>
      </c>
      <c r="D7" s="740">
        <v>1.2400000000000002</v>
      </c>
      <c r="E7" s="740" t="str">
        <f t="shared" si="0"/>
        <v/>
      </c>
      <c r="F7" s="740" t="str">
        <f t="shared" si="1"/>
        <v/>
      </c>
      <c r="G7" s="740" t="str">
        <f t="shared" si="2"/>
        <v/>
      </c>
      <c r="H7" s="740" t="str">
        <f t="shared" si="3"/>
        <v/>
      </c>
      <c r="I7" s="740"/>
      <c r="J7" s="649" t="s">
        <v>2484</v>
      </c>
      <c r="K7" s="650"/>
      <c r="L7" s="1324" t="s">
        <v>2485</v>
      </c>
      <c r="M7" s="1324"/>
      <c r="N7" s="1324"/>
      <c r="O7" s="1324"/>
      <c r="P7" s="1324"/>
      <c r="Q7" s="1324"/>
      <c r="R7" s="1324"/>
      <c r="S7" s="1324"/>
      <c r="T7" s="1324"/>
      <c r="U7" s="1324"/>
      <c r="V7" s="1324"/>
      <c r="W7" s="1324"/>
      <c r="X7" s="1324"/>
      <c r="Y7" s="1324"/>
      <c r="Z7" s="1324"/>
      <c r="AA7" s="1324"/>
      <c r="AB7" s="1324"/>
      <c r="AC7" s="1324"/>
      <c r="AD7" s="1324"/>
      <c r="AE7" s="1324"/>
      <c r="AF7" s="1324"/>
      <c r="AG7" s="1324"/>
      <c r="AH7" s="1324"/>
      <c r="AI7" s="1324"/>
      <c r="AJ7" s="1324"/>
      <c r="AK7" s="1324"/>
      <c r="AL7" s="1324"/>
      <c r="AM7" s="1324"/>
      <c r="AN7" s="1324"/>
      <c r="AO7" s="1324"/>
      <c r="AP7" s="1324"/>
      <c r="AQ7" s="1324"/>
      <c r="AR7" s="1324"/>
      <c r="AS7" s="1324"/>
      <c r="AT7" s="1324"/>
      <c r="AU7" s="1324"/>
      <c r="AV7" s="1324"/>
      <c r="AW7" s="1324"/>
      <c r="AX7" s="1324"/>
      <c r="AY7" s="1324"/>
      <c r="AZ7" s="1324"/>
      <c r="BA7" s="1324"/>
      <c r="BB7" s="1324"/>
      <c r="BC7" s="1324"/>
      <c r="BD7" s="1324"/>
      <c r="BE7" s="1324"/>
      <c r="BF7" s="1324"/>
      <c r="BG7" s="1324"/>
      <c r="BH7" s="1324"/>
      <c r="BI7" s="1324"/>
      <c r="BJ7" s="1324"/>
      <c r="BK7" s="1324"/>
      <c r="BL7" s="1324"/>
      <c r="BM7" s="1324"/>
      <c r="BN7" s="1324"/>
      <c r="BO7" s="1324"/>
      <c r="BP7" s="1324"/>
      <c r="BQ7" s="1324"/>
      <c r="BR7" s="1324"/>
      <c r="BS7" s="1325"/>
      <c r="BT7" s="1295" t="str">
        <f t="shared" si="4"/>
        <v/>
      </c>
      <c r="BU7" s="1295"/>
      <c r="BV7" s="1295"/>
      <c r="BW7" s="1295"/>
      <c r="BX7" s="1295"/>
      <c r="BY7" s="1295"/>
      <c r="BZ7" s="1297"/>
      <c r="CA7" s="1298"/>
      <c r="CB7" s="1298"/>
      <c r="CC7" s="1298"/>
      <c r="CD7" s="1298"/>
      <c r="CE7" s="1299"/>
      <c r="CF7" s="1297"/>
      <c r="CG7" s="1298"/>
      <c r="CH7" s="1298"/>
      <c r="CI7" s="1298"/>
      <c r="CJ7" s="1298"/>
      <c r="CK7" s="1299"/>
      <c r="CL7" s="1297"/>
      <c r="CM7" s="1298"/>
      <c r="CN7" s="1298"/>
      <c r="CO7" s="1298"/>
      <c r="CP7" s="1298"/>
      <c r="CQ7" s="1300"/>
    </row>
    <row r="8" spans="1:95" s="633" customFormat="1" ht="14.25">
      <c r="A8" s="740">
        <v>0.04</v>
      </c>
      <c r="B8" s="740">
        <v>0.44000000000000022</v>
      </c>
      <c r="C8" s="740">
        <v>0.84000000000000052</v>
      </c>
      <c r="D8" s="740">
        <v>1.2500000000000002</v>
      </c>
      <c r="E8" s="740" t="str">
        <f t="shared" si="0"/>
        <v/>
      </c>
      <c r="F8" s="740" t="str">
        <f t="shared" si="1"/>
        <v/>
      </c>
      <c r="G8" s="740" t="str">
        <f t="shared" si="2"/>
        <v/>
      </c>
      <c r="H8" s="740" t="str">
        <f t="shared" si="3"/>
        <v/>
      </c>
      <c r="I8" s="740"/>
      <c r="J8" s="648" t="s">
        <v>2486</v>
      </c>
      <c r="K8" s="1313" t="s">
        <v>2487</v>
      </c>
      <c r="L8" s="1314"/>
      <c r="M8" s="1314"/>
      <c r="N8" s="1314"/>
      <c r="O8" s="1314"/>
      <c r="P8" s="1314"/>
      <c r="Q8" s="1314"/>
      <c r="R8" s="1314"/>
      <c r="S8" s="1314"/>
      <c r="T8" s="1314"/>
      <c r="U8" s="1314"/>
      <c r="V8" s="1314"/>
      <c r="W8" s="1314"/>
      <c r="X8" s="1314"/>
      <c r="Y8" s="1314"/>
      <c r="Z8" s="1314"/>
      <c r="AA8" s="1314"/>
      <c r="AB8" s="1314"/>
      <c r="AC8" s="131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  <c r="BL8" s="1314"/>
      <c r="BM8" s="1314"/>
      <c r="BN8" s="1314"/>
      <c r="BO8" s="1314"/>
      <c r="BP8" s="1314"/>
      <c r="BQ8" s="1314"/>
      <c r="BR8" s="1314"/>
      <c r="BS8" s="1315"/>
      <c r="BT8" s="1238" t="str">
        <f t="shared" si="4"/>
        <v/>
      </c>
      <c r="BU8" s="1238"/>
      <c r="BV8" s="1238"/>
      <c r="BW8" s="1238"/>
      <c r="BX8" s="1238"/>
      <c r="BY8" s="1238"/>
      <c r="BZ8" s="1305" t="str">
        <f t="array" ref="BZ8">IF(AND(ISBLANK(BZ9:BZ11)),"",SUM(BZ9:BZ11))</f>
        <v/>
      </c>
      <c r="CA8" s="1238"/>
      <c r="CB8" s="1238"/>
      <c r="CC8" s="1238"/>
      <c r="CD8" s="1238"/>
      <c r="CE8" s="1239"/>
      <c r="CF8" s="1305" t="str">
        <f t="array" ref="CF8">IF(AND(ISBLANK(CF9:CF10)),"",SUM(CF9:CF10))</f>
        <v/>
      </c>
      <c r="CG8" s="1238"/>
      <c r="CH8" s="1238"/>
      <c r="CI8" s="1238"/>
      <c r="CJ8" s="1238"/>
      <c r="CK8" s="1239"/>
      <c r="CL8" s="1305" t="str">
        <f t="array" ref="CL8">IF(AND(ISBLANK(CL9:CL10)),"",SUM(CL9:CL10))</f>
        <v/>
      </c>
      <c r="CM8" s="1238"/>
      <c r="CN8" s="1238"/>
      <c r="CO8" s="1238"/>
      <c r="CP8" s="1238"/>
      <c r="CQ8" s="1306"/>
    </row>
    <row r="9" spans="1:95" s="633" customFormat="1" ht="32.25" customHeight="1">
      <c r="A9" s="740">
        <v>0.05</v>
      </c>
      <c r="B9" s="740">
        <v>0.45000000000000023</v>
      </c>
      <c r="C9" s="740">
        <v>0.85000000000000053</v>
      </c>
      <c r="D9" s="740">
        <v>1.2600000000000002</v>
      </c>
      <c r="E9" s="740" t="str">
        <f t="shared" si="0"/>
        <v/>
      </c>
      <c r="F9" s="740" t="str">
        <f t="shared" si="1"/>
        <v/>
      </c>
      <c r="G9" s="740" t="str">
        <f t="shared" si="2"/>
        <v/>
      </c>
      <c r="H9" s="740" t="str">
        <f t="shared" si="3"/>
        <v/>
      </c>
      <c r="I9" s="740"/>
      <c r="J9" s="649" t="s">
        <v>2488</v>
      </c>
      <c r="K9" s="651"/>
      <c r="L9" s="1292" t="s">
        <v>2489</v>
      </c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1292"/>
      <c r="AA9" s="1292"/>
      <c r="AB9" s="1292"/>
      <c r="AC9" s="1292"/>
      <c r="AD9" s="1292"/>
      <c r="AE9" s="1292"/>
      <c r="AF9" s="1292"/>
      <c r="AG9" s="1292"/>
      <c r="AH9" s="1292"/>
      <c r="AI9" s="1292"/>
      <c r="AJ9" s="1292"/>
      <c r="AK9" s="1292"/>
      <c r="AL9" s="1292"/>
      <c r="AM9" s="1292"/>
      <c r="AN9" s="1292"/>
      <c r="AO9" s="1292"/>
      <c r="AP9" s="1292"/>
      <c r="AQ9" s="1292"/>
      <c r="AR9" s="1292"/>
      <c r="AS9" s="1292"/>
      <c r="AT9" s="1292"/>
      <c r="AU9" s="1292"/>
      <c r="AV9" s="1292"/>
      <c r="AW9" s="1292"/>
      <c r="AX9" s="1292"/>
      <c r="AY9" s="1292"/>
      <c r="AZ9" s="1292"/>
      <c r="BA9" s="1292"/>
      <c r="BB9" s="1292"/>
      <c r="BC9" s="1292"/>
      <c r="BD9" s="1292"/>
      <c r="BE9" s="1292"/>
      <c r="BF9" s="1292"/>
      <c r="BG9" s="1292"/>
      <c r="BH9" s="1292"/>
      <c r="BI9" s="1292"/>
      <c r="BJ9" s="1292"/>
      <c r="BK9" s="1292"/>
      <c r="BL9" s="1292"/>
      <c r="BM9" s="1292"/>
      <c r="BN9" s="1292"/>
      <c r="BO9" s="1292"/>
      <c r="BP9" s="1292"/>
      <c r="BQ9" s="1292"/>
      <c r="BR9" s="1292"/>
      <c r="BS9" s="1293"/>
      <c r="BT9" s="1295" t="str">
        <f t="shared" si="4"/>
        <v/>
      </c>
      <c r="BU9" s="1295"/>
      <c r="BV9" s="1295"/>
      <c r="BW9" s="1295"/>
      <c r="BX9" s="1295"/>
      <c r="BY9" s="1295"/>
      <c r="BZ9" s="1297"/>
      <c r="CA9" s="1298"/>
      <c r="CB9" s="1298"/>
      <c r="CC9" s="1298"/>
      <c r="CD9" s="1298"/>
      <c r="CE9" s="1299"/>
      <c r="CF9" s="1297"/>
      <c r="CG9" s="1298"/>
      <c r="CH9" s="1298"/>
      <c r="CI9" s="1298"/>
      <c r="CJ9" s="1298"/>
      <c r="CK9" s="1299"/>
      <c r="CL9" s="1297"/>
      <c r="CM9" s="1298"/>
      <c r="CN9" s="1298"/>
      <c r="CO9" s="1298"/>
      <c r="CP9" s="1298"/>
      <c r="CQ9" s="1300"/>
    </row>
    <row r="10" spans="1:95" s="633" customFormat="1" ht="32.25" customHeight="1">
      <c r="A10" s="740">
        <v>6.0000000000000005E-2</v>
      </c>
      <c r="B10" s="740">
        <v>0.46000000000000024</v>
      </c>
      <c r="C10" s="740">
        <v>0.86000000000000054</v>
      </c>
      <c r="D10" s="740">
        <v>1.2700000000000002</v>
      </c>
      <c r="E10" s="740" t="str">
        <f t="shared" si="0"/>
        <v/>
      </c>
      <c r="F10" s="740" t="str">
        <f t="shared" si="1"/>
        <v/>
      </c>
      <c r="G10" s="740" t="str">
        <f t="shared" si="2"/>
        <v/>
      </c>
      <c r="H10" s="740" t="str">
        <f t="shared" si="3"/>
        <v/>
      </c>
      <c r="I10" s="740"/>
      <c r="J10" s="649" t="s">
        <v>2490</v>
      </c>
      <c r="K10" s="651"/>
      <c r="L10" s="1292" t="s">
        <v>2491</v>
      </c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1292"/>
      <c r="AA10" s="1292"/>
      <c r="AB10" s="1292"/>
      <c r="AC10" s="1292"/>
      <c r="AD10" s="1292"/>
      <c r="AE10" s="1292"/>
      <c r="AF10" s="1292"/>
      <c r="AG10" s="1292"/>
      <c r="AH10" s="1292"/>
      <c r="AI10" s="1292"/>
      <c r="AJ10" s="1292"/>
      <c r="AK10" s="1292"/>
      <c r="AL10" s="1292"/>
      <c r="AM10" s="1292"/>
      <c r="AN10" s="1292"/>
      <c r="AO10" s="1292"/>
      <c r="AP10" s="1292"/>
      <c r="AQ10" s="1292"/>
      <c r="AR10" s="1292"/>
      <c r="AS10" s="1292"/>
      <c r="AT10" s="1292"/>
      <c r="AU10" s="1292"/>
      <c r="AV10" s="1292"/>
      <c r="AW10" s="1292"/>
      <c r="AX10" s="1292"/>
      <c r="AY10" s="1292"/>
      <c r="AZ10" s="1292"/>
      <c r="BA10" s="1292"/>
      <c r="BB10" s="1292"/>
      <c r="BC10" s="1292"/>
      <c r="BD10" s="1292"/>
      <c r="BE10" s="1292"/>
      <c r="BF10" s="1292"/>
      <c r="BG10" s="1292"/>
      <c r="BH10" s="1292"/>
      <c r="BI10" s="1292"/>
      <c r="BJ10" s="1292"/>
      <c r="BK10" s="1292"/>
      <c r="BL10" s="1292"/>
      <c r="BM10" s="1292"/>
      <c r="BN10" s="1292"/>
      <c r="BO10" s="1292"/>
      <c r="BP10" s="1292"/>
      <c r="BQ10" s="1292"/>
      <c r="BR10" s="1292"/>
      <c r="BS10" s="1293"/>
      <c r="BT10" s="1295" t="str">
        <f t="shared" si="4"/>
        <v/>
      </c>
      <c r="BU10" s="1295"/>
      <c r="BV10" s="1295"/>
      <c r="BW10" s="1295"/>
      <c r="BX10" s="1295"/>
      <c r="BY10" s="1295"/>
      <c r="BZ10" s="1297"/>
      <c r="CA10" s="1298"/>
      <c r="CB10" s="1298"/>
      <c r="CC10" s="1298"/>
      <c r="CD10" s="1298"/>
      <c r="CE10" s="1299"/>
      <c r="CF10" s="1297"/>
      <c r="CG10" s="1298"/>
      <c r="CH10" s="1298"/>
      <c r="CI10" s="1298"/>
      <c r="CJ10" s="1298"/>
      <c r="CK10" s="1299"/>
      <c r="CL10" s="1297"/>
      <c r="CM10" s="1298"/>
      <c r="CN10" s="1298"/>
      <c r="CO10" s="1298"/>
      <c r="CP10" s="1298"/>
      <c r="CQ10" s="1300"/>
    </row>
    <row r="11" spans="1:95" s="633" customFormat="1" ht="14.25">
      <c r="A11" s="740">
        <v>7.0000000000000007E-2</v>
      </c>
      <c r="B11" s="740">
        <v>0.47000000000000025</v>
      </c>
      <c r="C11" s="740">
        <v>0.87000000000000055</v>
      </c>
      <c r="D11" s="740">
        <v>1.2800000000000002</v>
      </c>
      <c r="E11" s="740" t="str">
        <f t="shared" si="0"/>
        <v/>
      </c>
      <c r="F11" s="740" t="str">
        <f t="shared" si="1"/>
        <v/>
      </c>
      <c r="G11" s="740"/>
      <c r="H11" s="740"/>
      <c r="I11" s="740"/>
      <c r="J11" s="649" t="s">
        <v>2492</v>
      </c>
      <c r="K11" s="651"/>
      <c r="L11" s="1292" t="s">
        <v>2493</v>
      </c>
      <c r="M11" s="1292"/>
      <c r="N11" s="1292"/>
      <c r="O11" s="1292"/>
      <c r="P11" s="1292"/>
      <c r="Q11" s="1292"/>
      <c r="R11" s="1292"/>
      <c r="S11" s="1292"/>
      <c r="T11" s="1292"/>
      <c r="U11" s="1292"/>
      <c r="V11" s="1292"/>
      <c r="W11" s="1292"/>
      <c r="X11" s="1292"/>
      <c r="Y11" s="1292"/>
      <c r="Z11" s="1292"/>
      <c r="AA11" s="1292"/>
      <c r="AB11" s="1292"/>
      <c r="AC11" s="1292"/>
      <c r="AD11" s="1292"/>
      <c r="AE11" s="1292"/>
      <c r="AF11" s="1292"/>
      <c r="AG11" s="1292"/>
      <c r="AH11" s="1292"/>
      <c r="AI11" s="1292"/>
      <c r="AJ11" s="1292"/>
      <c r="AK11" s="1292"/>
      <c r="AL11" s="1292"/>
      <c r="AM11" s="1292"/>
      <c r="AN11" s="1292"/>
      <c r="AO11" s="1292"/>
      <c r="AP11" s="1292"/>
      <c r="AQ11" s="1292"/>
      <c r="AR11" s="1292"/>
      <c r="AS11" s="1292"/>
      <c r="AT11" s="1292"/>
      <c r="AU11" s="1292"/>
      <c r="AV11" s="1292"/>
      <c r="AW11" s="1292"/>
      <c r="AX11" s="1292"/>
      <c r="AY11" s="1292"/>
      <c r="AZ11" s="1292"/>
      <c r="BA11" s="1292"/>
      <c r="BB11" s="1292"/>
      <c r="BC11" s="1292"/>
      <c r="BD11" s="1292"/>
      <c r="BE11" s="1292"/>
      <c r="BF11" s="1292"/>
      <c r="BG11" s="1292"/>
      <c r="BH11" s="1292"/>
      <c r="BI11" s="1292"/>
      <c r="BJ11" s="1292"/>
      <c r="BK11" s="1292"/>
      <c r="BL11" s="1292"/>
      <c r="BM11" s="1292"/>
      <c r="BN11" s="1292"/>
      <c r="BO11" s="1292"/>
      <c r="BP11" s="1292"/>
      <c r="BQ11" s="1292"/>
      <c r="BR11" s="1292"/>
      <c r="BS11" s="1293"/>
      <c r="BT11" s="1295" t="str">
        <f>IF(BZ11="","",BZ11)</f>
        <v/>
      </c>
      <c r="BU11" s="1295"/>
      <c r="BV11" s="1295"/>
      <c r="BW11" s="1295"/>
      <c r="BX11" s="1295"/>
      <c r="BY11" s="1295"/>
      <c r="BZ11" s="1297"/>
      <c r="CA11" s="1298"/>
      <c r="CB11" s="1298"/>
      <c r="CC11" s="1298"/>
      <c r="CD11" s="1298"/>
      <c r="CE11" s="1299"/>
      <c r="CF11" s="1309" t="s">
        <v>2494</v>
      </c>
      <c r="CG11" s="1310"/>
      <c r="CH11" s="1310"/>
      <c r="CI11" s="1310"/>
      <c r="CJ11" s="1310"/>
      <c r="CK11" s="1311"/>
      <c r="CL11" s="1309" t="s">
        <v>2494</v>
      </c>
      <c r="CM11" s="1310"/>
      <c r="CN11" s="1310"/>
      <c r="CO11" s="1310"/>
      <c r="CP11" s="1310"/>
      <c r="CQ11" s="1312"/>
    </row>
    <row r="12" spans="1:95" s="633" customFormat="1" ht="14.25">
      <c r="A12" s="740">
        <v>0.08</v>
      </c>
      <c r="B12" s="740">
        <v>0.48000000000000026</v>
      </c>
      <c r="C12" s="740">
        <v>0.88000000000000056</v>
      </c>
      <c r="D12" s="740">
        <v>1.2900000000000003</v>
      </c>
      <c r="E12" s="740" t="str">
        <f t="shared" si="0"/>
        <v/>
      </c>
      <c r="F12" s="740" t="str">
        <f t="shared" si="1"/>
        <v/>
      </c>
      <c r="G12" s="740" t="str">
        <f t="shared" ref="G12:G26" si="5">IF(LEN(CF12)=0,"",1+ABS((CF12*C12)/LEN(CF12))+C12)</f>
        <v/>
      </c>
      <c r="H12" s="740" t="str">
        <f t="shared" ref="H12:H26" si="6">IF(LEN(CL12)=0,"",1+ABS((CL12*D12)/LEN(CL12))+D12)</f>
        <v/>
      </c>
      <c r="I12" s="740"/>
      <c r="J12" s="648" t="s">
        <v>2495</v>
      </c>
      <c r="K12" s="1234" t="s">
        <v>2496</v>
      </c>
      <c r="L12" s="1235"/>
      <c r="M12" s="1235"/>
      <c r="N12" s="1235"/>
      <c r="O12" s="1235"/>
      <c r="P12" s="1235"/>
      <c r="Q12" s="1235"/>
      <c r="R12" s="1235"/>
      <c r="S12" s="1235"/>
      <c r="T12" s="1235"/>
      <c r="U12" s="1235"/>
      <c r="V12" s="1235"/>
      <c r="W12" s="1235"/>
      <c r="X12" s="1235"/>
      <c r="Y12" s="1235"/>
      <c r="Z12" s="1235"/>
      <c r="AA12" s="1235"/>
      <c r="AB12" s="1235"/>
      <c r="AC12" s="1235"/>
      <c r="AD12" s="1235"/>
      <c r="AE12" s="1235"/>
      <c r="AF12" s="1235"/>
      <c r="AG12" s="1235"/>
      <c r="AH12" s="1235"/>
      <c r="AI12" s="1235"/>
      <c r="AJ12" s="1235"/>
      <c r="AK12" s="1235"/>
      <c r="AL12" s="1235"/>
      <c r="AM12" s="1235"/>
      <c r="AN12" s="1235"/>
      <c r="AO12" s="1235"/>
      <c r="AP12" s="1235"/>
      <c r="AQ12" s="1235"/>
      <c r="AR12" s="1235"/>
      <c r="AS12" s="1235"/>
      <c r="AT12" s="1235"/>
      <c r="AU12" s="1235"/>
      <c r="AV12" s="1235"/>
      <c r="AW12" s="1235"/>
      <c r="AX12" s="1235"/>
      <c r="AY12" s="1235"/>
      <c r="AZ12" s="1235"/>
      <c r="BA12" s="1235"/>
      <c r="BB12" s="1235"/>
      <c r="BC12" s="1235"/>
      <c r="BD12" s="1235"/>
      <c r="BE12" s="1235"/>
      <c r="BF12" s="1235"/>
      <c r="BG12" s="1235"/>
      <c r="BH12" s="1235"/>
      <c r="BI12" s="1235"/>
      <c r="BJ12" s="1235"/>
      <c r="BK12" s="1235"/>
      <c r="BL12" s="1235"/>
      <c r="BM12" s="1235"/>
      <c r="BN12" s="1235"/>
      <c r="BO12" s="1235"/>
      <c r="BP12" s="1235"/>
      <c r="BQ12" s="1235"/>
      <c r="BR12" s="1235"/>
      <c r="BS12" s="1236"/>
      <c r="BT12" s="1238" t="str">
        <f>IFERROR(IF(AND(BZ12,CF12)="","",SUM(BZ12)+SUM(CF12)),"")</f>
        <v/>
      </c>
      <c r="BU12" s="1238"/>
      <c r="BV12" s="1238"/>
      <c r="BW12" s="1238"/>
      <c r="BX12" s="1238"/>
      <c r="BY12" s="1238"/>
      <c r="BZ12" s="1305" t="str">
        <f>IFERROR(IF(AND(BZ13,BZ23)="","",SUM(BZ13)+SUM(BZ23)),"")</f>
        <v/>
      </c>
      <c r="CA12" s="1238"/>
      <c r="CB12" s="1238"/>
      <c r="CC12" s="1238"/>
      <c r="CD12" s="1238"/>
      <c r="CE12" s="1239"/>
      <c r="CF12" s="1305" t="str">
        <f>IFERROR(IF(AND(CF13,CF23)="","",SUM(CF13)+SUM(CF23)),"")</f>
        <v/>
      </c>
      <c r="CG12" s="1238"/>
      <c r="CH12" s="1238"/>
      <c r="CI12" s="1238"/>
      <c r="CJ12" s="1238"/>
      <c r="CK12" s="1239"/>
      <c r="CL12" s="1305" t="str">
        <f>IFERROR(IF(AND(CL13,CL23)="","",SUM(CL13)+SUM(CL23)),"")</f>
        <v/>
      </c>
      <c r="CM12" s="1238"/>
      <c r="CN12" s="1238"/>
      <c r="CO12" s="1238"/>
      <c r="CP12" s="1238"/>
      <c r="CQ12" s="1306"/>
    </row>
    <row r="13" spans="1:95" s="633" customFormat="1" ht="14.25">
      <c r="A13" s="740">
        <v>0.09</v>
      </c>
      <c r="B13" s="740">
        <v>0.49000000000000027</v>
      </c>
      <c r="C13" s="740">
        <v>0.89000000000000057</v>
      </c>
      <c r="D13" s="740">
        <v>1.3000000000000003</v>
      </c>
      <c r="E13" s="740" t="str">
        <f t="shared" si="0"/>
        <v/>
      </c>
      <c r="F13" s="740" t="str">
        <f t="shared" si="1"/>
        <v/>
      </c>
      <c r="G13" s="740" t="str">
        <f t="shared" si="5"/>
        <v/>
      </c>
      <c r="H13" s="740" t="str">
        <f t="shared" si="6"/>
        <v/>
      </c>
      <c r="I13" s="740"/>
      <c r="J13" s="648" t="s">
        <v>2497</v>
      </c>
      <c r="K13" s="1313" t="s">
        <v>2498</v>
      </c>
      <c r="L13" s="1314"/>
      <c r="M13" s="1314"/>
      <c r="N13" s="1314"/>
      <c r="O13" s="1314"/>
      <c r="P13" s="1314"/>
      <c r="Q13" s="1314"/>
      <c r="R13" s="1314"/>
      <c r="S13" s="1314"/>
      <c r="T13" s="1314"/>
      <c r="U13" s="1314"/>
      <c r="V13" s="1314"/>
      <c r="W13" s="1314"/>
      <c r="X13" s="1314"/>
      <c r="Y13" s="1314"/>
      <c r="Z13" s="1314"/>
      <c r="AA13" s="1314"/>
      <c r="AB13" s="1314"/>
      <c r="AC13" s="1314"/>
      <c r="AD13" s="1314"/>
      <c r="AE13" s="1314"/>
      <c r="AF13" s="1314"/>
      <c r="AG13" s="1314"/>
      <c r="AH13" s="1314"/>
      <c r="AI13" s="1314"/>
      <c r="AJ13" s="1314"/>
      <c r="AK13" s="1314"/>
      <c r="AL13" s="1314"/>
      <c r="AM13" s="1314"/>
      <c r="AN13" s="1314"/>
      <c r="AO13" s="1314"/>
      <c r="AP13" s="1314"/>
      <c r="AQ13" s="1314"/>
      <c r="AR13" s="1314"/>
      <c r="AS13" s="1314"/>
      <c r="AT13" s="1314"/>
      <c r="AU13" s="1314"/>
      <c r="AV13" s="1314"/>
      <c r="AW13" s="1314"/>
      <c r="AX13" s="1314"/>
      <c r="AY13" s="1314"/>
      <c r="AZ13" s="1314"/>
      <c r="BA13" s="1314"/>
      <c r="BB13" s="1314"/>
      <c r="BC13" s="1314"/>
      <c r="BD13" s="1314"/>
      <c r="BE13" s="1314"/>
      <c r="BF13" s="1314"/>
      <c r="BG13" s="1314"/>
      <c r="BH13" s="1314"/>
      <c r="BI13" s="1314"/>
      <c r="BJ13" s="1314"/>
      <c r="BK13" s="1314"/>
      <c r="BL13" s="1314"/>
      <c r="BM13" s="1314"/>
      <c r="BN13" s="1314"/>
      <c r="BO13" s="1314"/>
      <c r="BP13" s="1314"/>
      <c r="BQ13" s="1314"/>
      <c r="BR13" s="1314"/>
      <c r="BS13" s="1315"/>
      <c r="BT13" s="1237" t="str">
        <f t="shared" ref="BT13:BT18" si="7">IFERROR(IF(AND(BZ13,CF13)="","",SUM(BZ13)+SUM(CF13)),"")</f>
        <v/>
      </c>
      <c r="BU13" s="1238"/>
      <c r="BV13" s="1238"/>
      <c r="BW13" s="1238"/>
      <c r="BX13" s="1238"/>
      <c r="BY13" s="1239"/>
      <c r="BZ13" s="1305" t="str">
        <f t="array" ref="BZ13">IF(AND(ISBLANK(BZ14:BZ22)),"",SUM(BZ14:BZ22))</f>
        <v/>
      </c>
      <c r="CA13" s="1238"/>
      <c r="CB13" s="1238"/>
      <c r="CC13" s="1238"/>
      <c r="CD13" s="1238"/>
      <c r="CE13" s="1239"/>
      <c r="CF13" s="1305" t="str">
        <f t="array" ref="CF13">IF(AND(ISBLANK(CF14:CF22)),"",SUM(CF14:CF22))</f>
        <v/>
      </c>
      <c r="CG13" s="1238"/>
      <c r="CH13" s="1238"/>
      <c r="CI13" s="1238"/>
      <c r="CJ13" s="1238"/>
      <c r="CK13" s="1239"/>
      <c r="CL13" s="1305" t="str">
        <f t="array" ref="CL13">IF(AND(ISBLANK(CL14:CL22)),"",SUM(CL14:CL22))</f>
        <v/>
      </c>
      <c r="CM13" s="1238"/>
      <c r="CN13" s="1238"/>
      <c r="CO13" s="1238"/>
      <c r="CP13" s="1238"/>
      <c r="CQ13" s="1306"/>
    </row>
    <row r="14" spans="1:95" s="633" customFormat="1" ht="14.25">
      <c r="A14" s="740">
        <v>9.9999999999999992E-2</v>
      </c>
      <c r="B14" s="740">
        <v>0.50000000000000022</v>
      </c>
      <c r="C14" s="740">
        <v>0.90000000000000058</v>
      </c>
      <c r="D14" s="740">
        <v>1.3100000000000003</v>
      </c>
      <c r="E14" s="740" t="str">
        <f t="shared" si="0"/>
        <v/>
      </c>
      <c r="F14" s="740" t="str">
        <f t="shared" si="1"/>
        <v/>
      </c>
      <c r="G14" s="740" t="str">
        <f t="shared" si="5"/>
        <v/>
      </c>
      <c r="H14" s="740" t="str">
        <f t="shared" si="6"/>
        <v/>
      </c>
      <c r="I14" s="740"/>
      <c r="J14" s="649" t="s">
        <v>2499</v>
      </c>
      <c r="K14" s="650"/>
      <c r="L14" s="1292" t="s">
        <v>2500</v>
      </c>
      <c r="M14" s="1292"/>
      <c r="N14" s="1292"/>
      <c r="O14" s="1292"/>
      <c r="P14" s="1292"/>
      <c r="Q14" s="1292"/>
      <c r="R14" s="1292"/>
      <c r="S14" s="1292"/>
      <c r="T14" s="1292"/>
      <c r="U14" s="1292"/>
      <c r="V14" s="1292"/>
      <c r="W14" s="1292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2"/>
      <c r="AI14" s="1292"/>
      <c r="AJ14" s="1292"/>
      <c r="AK14" s="1292"/>
      <c r="AL14" s="1292"/>
      <c r="AM14" s="1292"/>
      <c r="AN14" s="1292"/>
      <c r="AO14" s="1292"/>
      <c r="AP14" s="1292"/>
      <c r="AQ14" s="1292"/>
      <c r="AR14" s="1292"/>
      <c r="AS14" s="1292"/>
      <c r="AT14" s="1292"/>
      <c r="AU14" s="1292"/>
      <c r="AV14" s="1292"/>
      <c r="AW14" s="1292"/>
      <c r="AX14" s="1292"/>
      <c r="AY14" s="1292"/>
      <c r="AZ14" s="1292"/>
      <c r="BA14" s="1292"/>
      <c r="BB14" s="1292"/>
      <c r="BC14" s="1292"/>
      <c r="BD14" s="1292"/>
      <c r="BE14" s="1292"/>
      <c r="BF14" s="1292"/>
      <c r="BG14" s="1292"/>
      <c r="BH14" s="1292"/>
      <c r="BI14" s="1292"/>
      <c r="BJ14" s="1292"/>
      <c r="BK14" s="1292"/>
      <c r="BL14" s="1292"/>
      <c r="BM14" s="1292"/>
      <c r="BN14" s="1292"/>
      <c r="BO14" s="1292"/>
      <c r="BP14" s="1292"/>
      <c r="BQ14" s="1292"/>
      <c r="BR14" s="1292"/>
      <c r="BS14" s="1293"/>
      <c r="BT14" s="1294" t="str">
        <f t="shared" si="7"/>
        <v/>
      </c>
      <c r="BU14" s="1295"/>
      <c r="BV14" s="1295"/>
      <c r="BW14" s="1295"/>
      <c r="BX14" s="1295"/>
      <c r="BY14" s="1296"/>
      <c r="BZ14" s="1297"/>
      <c r="CA14" s="1298"/>
      <c r="CB14" s="1298"/>
      <c r="CC14" s="1298"/>
      <c r="CD14" s="1298"/>
      <c r="CE14" s="1299"/>
      <c r="CF14" s="1297"/>
      <c r="CG14" s="1298"/>
      <c r="CH14" s="1298"/>
      <c r="CI14" s="1298"/>
      <c r="CJ14" s="1298"/>
      <c r="CK14" s="1299"/>
      <c r="CL14" s="1297"/>
      <c r="CM14" s="1298"/>
      <c r="CN14" s="1298"/>
      <c r="CO14" s="1298"/>
      <c r="CP14" s="1298"/>
      <c r="CQ14" s="1300"/>
    </row>
    <row r="15" spans="1:95" s="633" customFormat="1" ht="14.25">
      <c r="A15" s="740">
        <v>0.10999999999999999</v>
      </c>
      <c r="B15" s="740">
        <v>0.51000000000000023</v>
      </c>
      <c r="C15" s="740">
        <v>0.91000000000000059</v>
      </c>
      <c r="D15" s="740">
        <v>1.3200000000000003</v>
      </c>
      <c r="E15" s="740" t="str">
        <f t="shared" si="0"/>
        <v/>
      </c>
      <c r="F15" s="740" t="str">
        <f t="shared" si="1"/>
        <v/>
      </c>
      <c r="G15" s="740" t="str">
        <f t="shared" si="5"/>
        <v/>
      </c>
      <c r="H15" s="740" t="str">
        <f t="shared" si="6"/>
        <v/>
      </c>
      <c r="I15" s="740"/>
      <c r="J15" s="649" t="s">
        <v>2501</v>
      </c>
      <c r="K15" s="650"/>
      <c r="L15" s="1292" t="s">
        <v>2502</v>
      </c>
      <c r="M15" s="1292"/>
      <c r="N15" s="1292"/>
      <c r="O15" s="1292"/>
      <c r="P15" s="1292"/>
      <c r="Q15" s="1292"/>
      <c r="R15" s="1292"/>
      <c r="S15" s="1292"/>
      <c r="T15" s="1292"/>
      <c r="U15" s="1292"/>
      <c r="V15" s="1292"/>
      <c r="W15" s="1292"/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2"/>
      <c r="AI15" s="1292"/>
      <c r="AJ15" s="1292"/>
      <c r="AK15" s="1292"/>
      <c r="AL15" s="1292"/>
      <c r="AM15" s="1292"/>
      <c r="AN15" s="1292"/>
      <c r="AO15" s="1292"/>
      <c r="AP15" s="1292"/>
      <c r="AQ15" s="1292"/>
      <c r="AR15" s="1292"/>
      <c r="AS15" s="1292"/>
      <c r="AT15" s="1292"/>
      <c r="AU15" s="1292"/>
      <c r="AV15" s="1292"/>
      <c r="AW15" s="1292"/>
      <c r="AX15" s="1292"/>
      <c r="AY15" s="1292"/>
      <c r="AZ15" s="1292"/>
      <c r="BA15" s="1292"/>
      <c r="BB15" s="1292"/>
      <c r="BC15" s="1292"/>
      <c r="BD15" s="1292"/>
      <c r="BE15" s="1292"/>
      <c r="BF15" s="1292"/>
      <c r="BG15" s="1292"/>
      <c r="BH15" s="1292"/>
      <c r="BI15" s="1292"/>
      <c r="BJ15" s="1292"/>
      <c r="BK15" s="1292"/>
      <c r="BL15" s="1292"/>
      <c r="BM15" s="1292"/>
      <c r="BN15" s="1292"/>
      <c r="BO15" s="1292"/>
      <c r="BP15" s="1292"/>
      <c r="BQ15" s="1292"/>
      <c r="BR15" s="1292"/>
      <c r="BS15" s="1293"/>
      <c r="BT15" s="1294" t="str">
        <f t="shared" si="7"/>
        <v/>
      </c>
      <c r="BU15" s="1295"/>
      <c r="BV15" s="1295"/>
      <c r="BW15" s="1295"/>
      <c r="BX15" s="1295"/>
      <c r="BY15" s="1296"/>
      <c r="BZ15" s="1297"/>
      <c r="CA15" s="1298"/>
      <c r="CB15" s="1298"/>
      <c r="CC15" s="1298"/>
      <c r="CD15" s="1298"/>
      <c r="CE15" s="1299"/>
      <c r="CF15" s="1297"/>
      <c r="CG15" s="1298"/>
      <c r="CH15" s="1298"/>
      <c r="CI15" s="1298"/>
      <c r="CJ15" s="1298"/>
      <c r="CK15" s="1299"/>
      <c r="CL15" s="1297"/>
      <c r="CM15" s="1298"/>
      <c r="CN15" s="1298"/>
      <c r="CO15" s="1298"/>
      <c r="CP15" s="1298"/>
      <c r="CQ15" s="1300"/>
    </row>
    <row r="16" spans="1:95" s="633" customFormat="1" ht="31.5" customHeight="1">
      <c r="A16" s="740">
        <v>0.11999999999999998</v>
      </c>
      <c r="B16" s="740">
        <v>0.52000000000000024</v>
      </c>
      <c r="C16" s="740">
        <v>0.9200000000000006</v>
      </c>
      <c r="D16" s="740">
        <v>1.3300000000000003</v>
      </c>
      <c r="E16" s="740" t="str">
        <f t="shared" si="0"/>
        <v/>
      </c>
      <c r="F16" s="740" t="str">
        <f t="shared" si="1"/>
        <v/>
      </c>
      <c r="G16" s="740" t="str">
        <f t="shared" si="5"/>
        <v/>
      </c>
      <c r="H16" s="740" t="str">
        <f t="shared" si="6"/>
        <v/>
      </c>
      <c r="I16" s="740"/>
      <c r="J16" s="649" t="s">
        <v>2503</v>
      </c>
      <c r="K16" s="650"/>
      <c r="L16" s="1292" t="s">
        <v>2504</v>
      </c>
      <c r="M16" s="1292"/>
      <c r="N16" s="1292"/>
      <c r="O16" s="1292"/>
      <c r="P16" s="1292"/>
      <c r="Q16" s="1292"/>
      <c r="R16" s="1292"/>
      <c r="S16" s="1292"/>
      <c r="T16" s="1292"/>
      <c r="U16" s="1292"/>
      <c r="V16" s="1292"/>
      <c r="W16" s="1292"/>
      <c r="X16" s="1292"/>
      <c r="Y16" s="1292"/>
      <c r="Z16" s="1292"/>
      <c r="AA16" s="1292"/>
      <c r="AB16" s="1292"/>
      <c r="AC16" s="1292"/>
      <c r="AD16" s="1292"/>
      <c r="AE16" s="1292"/>
      <c r="AF16" s="1292"/>
      <c r="AG16" s="1292"/>
      <c r="AH16" s="1292"/>
      <c r="AI16" s="1292"/>
      <c r="AJ16" s="1292"/>
      <c r="AK16" s="1292"/>
      <c r="AL16" s="1292"/>
      <c r="AM16" s="1292"/>
      <c r="AN16" s="1292"/>
      <c r="AO16" s="1292"/>
      <c r="AP16" s="1292"/>
      <c r="AQ16" s="1292"/>
      <c r="AR16" s="1292"/>
      <c r="AS16" s="1292"/>
      <c r="AT16" s="1292"/>
      <c r="AU16" s="1292"/>
      <c r="AV16" s="1292"/>
      <c r="AW16" s="1292"/>
      <c r="AX16" s="1292"/>
      <c r="AY16" s="1292"/>
      <c r="AZ16" s="1292"/>
      <c r="BA16" s="1292"/>
      <c r="BB16" s="1292"/>
      <c r="BC16" s="1292"/>
      <c r="BD16" s="1292"/>
      <c r="BE16" s="1292"/>
      <c r="BF16" s="1292"/>
      <c r="BG16" s="1292"/>
      <c r="BH16" s="1292"/>
      <c r="BI16" s="1292"/>
      <c r="BJ16" s="1292"/>
      <c r="BK16" s="1292"/>
      <c r="BL16" s="1292"/>
      <c r="BM16" s="1292"/>
      <c r="BN16" s="1292"/>
      <c r="BO16" s="1292"/>
      <c r="BP16" s="1292"/>
      <c r="BQ16" s="1292"/>
      <c r="BR16" s="1292"/>
      <c r="BS16" s="1293"/>
      <c r="BT16" s="1294" t="str">
        <f t="shared" si="7"/>
        <v/>
      </c>
      <c r="BU16" s="1295"/>
      <c r="BV16" s="1295"/>
      <c r="BW16" s="1295"/>
      <c r="BX16" s="1295"/>
      <c r="BY16" s="1296"/>
      <c r="BZ16" s="1297"/>
      <c r="CA16" s="1298"/>
      <c r="CB16" s="1298"/>
      <c r="CC16" s="1298"/>
      <c r="CD16" s="1298"/>
      <c r="CE16" s="1299"/>
      <c r="CF16" s="1297"/>
      <c r="CG16" s="1298"/>
      <c r="CH16" s="1298"/>
      <c r="CI16" s="1298"/>
      <c r="CJ16" s="1298"/>
      <c r="CK16" s="1299"/>
      <c r="CL16" s="1297"/>
      <c r="CM16" s="1298"/>
      <c r="CN16" s="1298"/>
      <c r="CO16" s="1298"/>
      <c r="CP16" s="1298"/>
      <c r="CQ16" s="1300"/>
    </row>
    <row r="17" spans="1:95" s="633" customFormat="1" ht="14.25">
      <c r="A17" s="740">
        <v>0.12999999999999998</v>
      </c>
      <c r="B17" s="740">
        <v>0.53000000000000025</v>
      </c>
      <c r="C17" s="740">
        <v>0.9300000000000006</v>
      </c>
      <c r="D17" s="740">
        <v>1.3400000000000003</v>
      </c>
      <c r="E17" s="740" t="str">
        <f t="shared" si="0"/>
        <v/>
      </c>
      <c r="F17" s="740" t="str">
        <f t="shared" si="1"/>
        <v/>
      </c>
      <c r="G17" s="740" t="str">
        <f t="shared" si="5"/>
        <v/>
      </c>
      <c r="H17" s="740" t="str">
        <f>IF(LEN(CL17)=0,"",1+ABS((CL17*D17)/LEN(CL17))+D17)</f>
        <v/>
      </c>
      <c r="I17" s="740"/>
      <c r="J17" s="649" t="s">
        <v>2505</v>
      </c>
      <c r="K17" s="650"/>
      <c r="L17" s="1292" t="s">
        <v>2506</v>
      </c>
      <c r="M17" s="1292"/>
      <c r="N17" s="1292"/>
      <c r="O17" s="1292"/>
      <c r="P17" s="1292"/>
      <c r="Q17" s="1292"/>
      <c r="R17" s="1292"/>
      <c r="S17" s="1292"/>
      <c r="T17" s="1292"/>
      <c r="U17" s="1292"/>
      <c r="V17" s="1292"/>
      <c r="W17" s="1292"/>
      <c r="X17" s="1292"/>
      <c r="Y17" s="1292"/>
      <c r="Z17" s="1292"/>
      <c r="AA17" s="1292"/>
      <c r="AB17" s="1292"/>
      <c r="AC17" s="1292"/>
      <c r="AD17" s="1292"/>
      <c r="AE17" s="1292"/>
      <c r="AF17" s="1292"/>
      <c r="AG17" s="1292"/>
      <c r="AH17" s="1292"/>
      <c r="AI17" s="1292"/>
      <c r="AJ17" s="1292"/>
      <c r="AK17" s="1292"/>
      <c r="AL17" s="1292"/>
      <c r="AM17" s="1292"/>
      <c r="AN17" s="1292"/>
      <c r="AO17" s="1292"/>
      <c r="AP17" s="1292"/>
      <c r="AQ17" s="1292"/>
      <c r="AR17" s="1292"/>
      <c r="AS17" s="1292"/>
      <c r="AT17" s="1292"/>
      <c r="AU17" s="1292"/>
      <c r="AV17" s="1292"/>
      <c r="AW17" s="1292"/>
      <c r="AX17" s="1292"/>
      <c r="AY17" s="1292"/>
      <c r="AZ17" s="1292"/>
      <c r="BA17" s="1292"/>
      <c r="BB17" s="1292"/>
      <c r="BC17" s="1292"/>
      <c r="BD17" s="1292"/>
      <c r="BE17" s="1292"/>
      <c r="BF17" s="1292"/>
      <c r="BG17" s="1292"/>
      <c r="BH17" s="1292"/>
      <c r="BI17" s="1292"/>
      <c r="BJ17" s="1292"/>
      <c r="BK17" s="1292"/>
      <c r="BL17" s="1292"/>
      <c r="BM17" s="1292"/>
      <c r="BN17" s="1292"/>
      <c r="BO17" s="1292"/>
      <c r="BP17" s="1292"/>
      <c r="BQ17" s="1292"/>
      <c r="BR17" s="1292"/>
      <c r="BS17" s="1293"/>
      <c r="BT17" s="1294" t="str">
        <f t="shared" si="7"/>
        <v/>
      </c>
      <c r="BU17" s="1295"/>
      <c r="BV17" s="1295"/>
      <c r="BW17" s="1295"/>
      <c r="BX17" s="1295"/>
      <c r="BY17" s="1296"/>
      <c r="BZ17" s="1297"/>
      <c r="CA17" s="1298"/>
      <c r="CB17" s="1298"/>
      <c r="CC17" s="1298"/>
      <c r="CD17" s="1298"/>
      <c r="CE17" s="1299"/>
      <c r="CF17" s="1297"/>
      <c r="CG17" s="1298"/>
      <c r="CH17" s="1298"/>
      <c r="CI17" s="1298"/>
      <c r="CJ17" s="1298"/>
      <c r="CK17" s="1299"/>
      <c r="CL17" s="1297"/>
      <c r="CM17" s="1298"/>
      <c r="CN17" s="1298"/>
      <c r="CO17" s="1298"/>
      <c r="CP17" s="1298"/>
      <c r="CQ17" s="1300"/>
    </row>
    <row r="18" spans="1:95" s="633" customFormat="1" ht="32.25" customHeight="1">
      <c r="A18" s="740">
        <v>0.13999999999999999</v>
      </c>
      <c r="B18" s="740">
        <v>0.54000000000000026</v>
      </c>
      <c r="C18" s="740">
        <v>0.94000000000000061</v>
      </c>
      <c r="D18" s="740">
        <v>1.3500000000000003</v>
      </c>
      <c r="E18" s="740" t="str">
        <f t="shared" si="0"/>
        <v/>
      </c>
      <c r="F18" s="740" t="str">
        <f t="shared" si="1"/>
        <v/>
      </c>
      <c r="G18" s="740" t="str">
        <f t="shared" si="5"/>
        <v/>
      </c>
      <c r="H18" s="740" t="str">
        <f>IF(LEN(CL18)=0,"",1+ABS((CL18*D18)/LEN(CL18))+D18)</f>
        <v/>
      </c>
      <c r="I18" s="740"/>
      <c r="J18" s="654" t="s">
        <v>2507</v>
      </c>
      <c r="K18" s="650"/>
      <c r="L18" s="1292" t="s">
        <v>2508</v>
      </c>
      <c r="M18" s="1292"/>
      <c r="N18" s="1292"/>
      <c r="O18" s="1292"/>
      <c r="P18" s="1292"/>
      <c r="Q18" s="1292"/>
      <c r="R18" s="1292"/>
      <c r="S18" s="1292"/>
      <c r="T18" s="1292"/>
      <c r="U18" s="1292"/>
      <c r="V18" s="1292"/>
      <c r="W18" s="1292"/>
      <c r="X18" s="1292"/>
      <c r="Y18" s="1292"/>
      <c r="Z18" s="1292"/>
      <c r="AA18" s="1292"/>
      <c r="AB18" s="1292"/>
      <c r="AC18" s="1292"/>
      <c r="AD18" s="1292"/>
      <c r="AE18" s="1292"/>
      <c r="AF18" s="1292"/>
      <c r="AG18" s="1292"/>
      <c r="AH18" s="1292"/>
      <c r="AI18" s="1292"/>
      <c r="AJ18" s="1292"/>
      <c r="AK18" s="1292"/>
      <c r="AL18" s="1292"/>
      <c r="AM18" s="1292"/>
      <c r="AN18" s="1292"/>
      <c r="AO18" s="1292"/>
      <c r="AP18" s="1292"/>
      <c r="AQ18" s="1292"/>
      <c r="AR18" s="1292"/>
      <c r="AS18" s="1292"/>
      <c r="AT18" s="1292"/>
      <c r="AU18" s="1292"/>
      <c r="AV18" s="1292"/>
      <c r="AW18" s="1292"/>
      <c r="AX18" s="1292"/>
      <c r="AY18" s="1292"/>
      <c r="AZ18" s="1292"/>
      <c r="BA18" s="1292"/>
      <c r="BB18" s="1292"/>
      <c r="BC18" s="1292"/>
      <c r="BD18" s="1292"/>
      <c r="BE18" s="1292"/>
      <c r="BF18" s="1292"/>
      <c r="BG18" s="1292"/>
      <c r="BH18" s="1292"/>
      <c r="BI18" s="1292"/>
      <c r="BJ18" s="1292"/>
      <c r="BK18" s="1292"/>
      <c r="BL18" s="1292"/>
      <c r="BM18" s="1292"/>
      <c r="BN18" s="1292"/>
      <c r="BO18" s="1292"/>
      <c r="BP18" s="1292"/>
      <c r="BQ18" s="1292"/>
      <c r="BR18" s="1292"/>
      <c r="BS18" s="1293"/>
      <c r="BT18" s="1294" t="str">
        <f t="shared" si="7"/>
        <v/>
      </c>
      <c r="BU18" s="1295"/>
      <c r="BV18" s="1295"/>
      <c r="BW18" s="1295"/>
      <c r="BX18" s="1295"/>
      <c r="BY18" s="1296"/>
      <c r="BZ18" s="1297"/>
      <c r="CA18" s="1298"/>
      <c r="CB18" s="1298"/>
      <c r="CC18" s="1298"/>
      <c r="CD18" s="1298"/>
      <c r="CE18" s="1299"/>
      <c r="CF18" s="1297"/>
      <c r="CG18" s="1298"/>
      <c r="CH18" s="1298"/>
      <c r="CI18" s="1298"/>
      <c r="CJ18" s="1298"/>
      <c r="CK18" s="1299"/>
      <c r="CL18" s="1297"/>
      <c r="CM18" s="1298"/>
      <c r="CN18" s="1298"/>
      <c r="CO18" s="1298"/>
      <c r="CP18" s="1298"/>
      <c r="CQ18" s="1300"/>
    </row>
    <row r="19" spans="1:95" s="633" customFormat="1" ht="14.25">
      <c r="A19" s="740">
        <v>0.15</v>
      </c>
      <c r="B19" s="740">
        <v>0.55000000000000027</v>
      </c>
      <c r="C19" s="740">
        <v>0.95000000000000062</v>
      </c>
      <c r="D19" s="740">
        <v>1.3600000000000003</v>
      </c>
      <c r="E19" s="740" t="str">
        <f t="shared" si="0"/>
        <v/>
      </c>
      <c r="F19" s="740" t="str">
        <f t="shared" si="1"/>
        <v/>
      </c>
      <c r="G19" s="740" t="str">
        <f t="shared" si="5"/>
        <v/>
      </c>
      <c r="H19" s="740" t="str">
        <f t="shared" si="6"/>
        <v/>
      </c>
      <c r="I19" s="740"/>
      <c r="J19" s="649" t="s">
        <v>2509</v>
      </c>
      <c r="K19" s="650"/>
      <c r="L19" s="1292" t="s">
        <v>2510</v>
      </c>
      <c r="M19" s="1292"/>
      <c r="N19" s="1292"/>
      <c r="O19" s="1292"/>
      <c r="P19" s="1292"/>
      <c r="Q19" s="1292"/>
      <c r="R19" s="1292"/>
      <c r="S19" s="1292"/>
      <c r="T19" s="1292"/>
      <c r="U19" s="1292"/>
      <c r="V19" s="1292"/>
      <c r="W19" s="1292"/>
      <c r="X19" s="1292"/>
      <c r="Y19" s="1292"/>
      <c r="Z19" s="1292"/>
      <c r="AA19" s="1292"/>
      <c r="AB19" s="1292"/>
      <c r="AC19" s="1292"/>
      <c r="AD19" s="1292"/>
      <c r="AE19" s="1292"/>
      <c r="AF19" s="1292"/>
      <c r="AG19" s="1292"/>
      <c r="AH19" s="1292"/>
      <c r="AI19" s="1292"/>
      <c r="AJ19" s="1292"/>
      <c r="AK19" s="1292"/>
      <c r="AL19" s="1292"/>
      <c r="AM19" s="1292"/>
      <c r="AN19" s="1292"/>
      <c r="AO19" s="1292"/>
      <c r="AP19" s="1292"/>
      <c r="AQ19" s="1292"/>
      <c r="AR19" s="1292"/>
      <c r="AS19" s="1292"/>
      <c r="AT19" s="1292"/>
      <c r="AU19" s="1292"/>
      <c r="AV19" s="1292"/>
      <c r="AW19" s="1292"/>
      <c r="AX19" s="1292"/>
      <c r="AY19" s="1292"/>
      <c r="AZ19" s="1292"/>
      <c r="BA19" s="1292"/>
      <c r="BB19" s="1292"/>
      <c r="BC19" s="1292"/>
      <c r="BD19" s="1292"/>
      <c r="BE19" s="1292"/>
      <c r="BF19" s="1292"/>
      <c r="BG19" s="1292"/>
      <c r="BH19" s="1292"/>
      <c r="BI19" s="1292"/>
      <c r="BJ19" s="1292"/>
      <c r="BK19" s="1292"/>
      <c r="BL19" s="1292"/>
      <c r="BM19" s="1292"/>
      <c r="BN19" s="1292"/>
      <c r="BO19" s="1292"/>
      <c r="BP19" s="1292"/>
      <c r="BQ19" s="1292"/>
      <c r="BR19" s="1292"/>
      <c r="BS19" s="1293"/>
      <c r="BT19" s="1294" t="str">
        <f t="shared" ref="BT19:BT22" si="8">IFERROR(IF(AND(BZ19,CF19)="","",SUM(BZ19)+SUM(CF19)),"")</f>
        <v/>
      </c>
      <c r="BU19" s="1295"/>
      <c r="BV19" s="1295"/>
      <c r="BW19" s="1295"/>
      <c r="BX19" s="1295"/>
      <c r="BY19" s="1296"/>
      <c r="BZ19" s="1297"/>
      <c r="CA19" s="1298"/>
      <c r="CB19" s="1298"/>
      <c r="CC19" s="1298"/>
      <c r="CD19" s="1298"/>
      <c r="CE19" s="1299"/>
      <c r="CF19" s="1297"/>
      <c r="CG19" s="1298"/>
      <c r="CH19" s="1298"/>
      <c r="CI19" s="1298"/>
      <c r="CJ19" s="1298"/>
      <c r="CK19" s="1299"/>
      <c r="CL19" s="1297"/>
      <c r="CM19" s="1298"/>
      <c r="CN19" s="1298"/>
      <c r="CO19" s="1298"/>
      <c r="CP19" s="1298"/>
      <c r="CQ19" s="1300"/>
    </row>
    <row r="20" spans="1:95" s="633" customFormat="1" ht="14.25">
      <c r="A20" s="740">
        <v>0.16</v>
      </c>
      <c r="B20" s="740">
        <v>0.56000000000000028</v>
      </c>
      <c r="C20" s="740">
        <v>0.96000000000000063</v>
      </c>
      <c r="D20" s="740">
        <v>1.3700000000000003</v>
      </c>
      <c r="E20" s="740" t="str">
        <f t="shared" si="0"/>
        <v/>
      </c>
      <c r="F20" s="740" t="str">
        <f t="shared" si="1"/>
        <v/>
      </c>
      <c r="G20" s="740" t="str">
        <f t="shared" si="5"/>
        <v/>
      </c>
      <c r="H20" s="740" t="str">
        <f t="shared" si="6"/>
        <v/>
      </c>
      <c r="I20" s="740"/>
      <c r="J20" s="649" t="s">
        <v>2511</v>
      </c>
      <c r="K20" s="650"/>
      <c r="L20" s="1292" t="s">
        <v>2512</v>
      </c>
      <c r="M20" s="1292"/>
      <c r="N20" s="1292"/>
      <c r="O20" s="1292"/>
      <c r="P20" s="1292"/>
      <c r="Q20" s="1292"/>
      <c r="R20" s="1292"/>
      <c r="S20" s="1292"/>
      <c r="T20" s="1292"/>
      <c r="U20" s="1292"/>
      <c r="V20" s="1292"/>
      <c r="W20" s="1292"/>
      <c r="X20" s="1292"/>
      <c r="Y20" s="1292"/>
      <c r="Z20" s="1292"/>
      <c r="AA20" s="1292"/>
      <c r="AB20" s="1292"/>
      <c r="AC20" s="1292"/>
      <c r="AD20" s="1292"/>
      <c r="AE20" s="1292"/>
      <c r="AF20" s="1292"/>
      <c r="AG20" s="1292"/>
      <c r="AH20" s="1292"/>
      <c r="AI20" s="1292"/>
      <c r="AJ20" s="1292"/>
      <c r="AK20" s="1292"/>
      <c r="AL20" s="1292"/>
      <c r="AM20" s="1292"/>
      <c r="AN20" s="1292"/>
      <c r="AO20" s="1292"/>
      <c r="AP20" s="1292"/>
      <c r="AQ20" s="1292"/>
      <c r="AR20" s="1292"/>
      <c r="AS20" s="1292"/>
      <c r="AT20" s="1292"/>
      <c r="AU20" s="1292"/>
      <c r="AV20" s="1292"/>
      <c r="AW20" s="1292"/>
      <c r="AX20" s="1292"/>
      <c r="AY20" s="1292"/>
      <c r="AZ20" s="1292"/>
      <c r="BA20" s="1292"/>
      <c r="BB20" s="1292"/>
      <c r="BC20" s="1292"/>
      <c r="BD20" s="1292"/>
      <c r="BE20" s="1292"/>
      <c r="BF20" s="1292"/>
      <c r="BG20" s="1292"/>
      <c r="BH20" s="1292"/>
      <c r="BI20" s="1292"/>
      <c r="BJ20" s="1292"/>
      <c r="BK20" s="1292"/>
      <c r="BL20" s="1292"/>
      <c r="BM20" s="1292"/>
      <c r="BN20" s="1292"/>
      <c r="BO20" s="1292"/>
      <c r="BP20" s="1292"/>
      <c r="BQ20" s="1292"/>
      <c r="BR20" s="1292"/>
      <c r="BS20" s="1293"/>
      <c r="BT20" s="1294" t="str">
        <f t="shared" si="8"/>
        <v/>
      </c>
      <c r="BU20" s="1295"/>
      <c r="BV20" s="1295"/>
      <c r="BW20" s="1295"/>
      <c r="BX20" s="1295"/>
      <c r="BY20" s="1296"/>
      <c r="BZ20" s="1297"/>
      <c r="CA20" s="1298"/>
      <c r="CB20" s="1298"/>
      <c r="CC20" s="1298"/>
      <c r="CD20" s="1298"/>
      <c r="CE20" s="1299"/>
      <c r="CF20" s="1297"/>
      <c r="CG20" s="1298"/>
      <c r="CH20" s="1298"/>
      <c r="CI20" s="1298"/>
      <c r="CJ20" s="1298"/>
      <c r="CK20" s="1299"/>
      <c r="CL20" s="1297"/>
      <c r="CM20" s="1298"/>
      <c r="CN20" s="1298"/>
      <c r="CO20" s="1298"/>
      <c r="CP20" s="1298"/>
      <c r="CQ20" s="1300"/>
    </row>
    <row r="21" spans="1:95" s="633" customFormat="1" ht="14.25">
      <c r="A21" s="740">
        <v>0.17</v>
      </c>
      <c r="B21" s="740">
        <v>0.57000000000000028</v>
      </c>
      <c r="C21" s="740">
        <v>0.97000000000000064</v>
      </c>
      <c r="D21" s="740">
        <v>1.3800000000000003</v>
      </c>
      <c r="E21" s="740" t="str">
        <f t="shared" si="0"/>
        <v/>
      </c>
      <c r="F21" s="740" t="str">
        <f t="shared" si="1"/>
        <v/>
      </c>
      <c r="G21" s="740" t="str">
        <f t="shared" si="5"/>
        <v/>
      </c>
      <c r="H21" s="740" t="str">
        <f t="shared" si="6"/>
        <v/>
      </c>
      <c r="I21" s="740"/>
      <c r="J21" s="649" t="s">
        <v>2513</v>
      </c>
      <c r="K21" s="650"/>
      <c r="L21" s="1292" t="s">
        <v>2514</v>
      </c>
      <c r="M21" s="1292"/>
      <c r="N21" s="1292"/>
      <c r="O21" s="1292"/>
      <c r="P21" s="1292"/>
      <c r="Q21" s="1292"/>
      <c r="R21" s="1292"/>
      <c r="S21" s="1292"/>
      <c r="T21" s="1292"/>
      <c r="U21" s="1292"/>
      <c r="V21" s="1292"/>
      <c r="W21" s="1292"/>
      <c r="X21" s="1292"/>
      <c r="Y21" s="1292"/>
      <c r="Z21" s="1292"/>
      <c r="AA21" s="1292"/>
      <c r="AB21" s="1292"/>
      <c r="AC21" s="1292"/>
      <c r="AD21" s="1292"/>
      <c r="AE21" s="1292"/>
      <c r="AF21" s="1292"/>
      <c r="AG21" s="1292"/>
      <c r="AH21" s="1292"/>
      <c r="AI21" s="1292"/>
      <c r="AJ21" s="1292"/>
      <c r="AK21" s="1292"/>
      <c r="AL21" s="1292"/>
      <c r="AM21" s="1292"/>
      <c r="AN21" s="1292"/>
      <c r="AO21" s="1292"/>
      <c r="AP21" s="1292"/>
      <c r="AQ21" s="1292"/>
      <c r="AR21" s="1292"/>
      <c r="AS21" s="1292"/>
      <c r="AT21" s="1292"/>
      <c r="AU21" s="1292"/>
      <c r="AV21" s="1292"/>
      <c r="AW21" s="1292"/>
      <c r="AX21" s="1292"/>
      <c r="AY21" s="1292"/>
      <c r="AZ21" s="1292"/>
      <c r="BA21" s="1292"/>
      <c r="BB21" s="1292"/>
      <c r="BC21" s="1292"/>
      <c r="BD21" s="1292"/>
      <c r="BE21" s="1292"/>
      <c r="BF21" s="1292"/>
      <c r="BG21" s="1292"/>
      <c r="BH21" s="1292"/>
      <c r="BI21" s="1292"/>
      <c r="BJ21" s="1292"/>
      <c r="BK21" s="1292"/>
      <c r="BL21" s="1292"/>
      <c r="BM21" s="1292"/>
      <c r="BN21" s="1292"/>
      <c r="BO21" s="1292"/>
      <c r="BP21" s="1292"/>
      <c r="BQ21" s="1292"/>
      <c r="BR21" s="1292"/>
      <c r="BS21" s="1293"/>
      <c r="BT21" s="1294" t="str">
        <f t="shared" si="8"/>
        <v/>
      </c>
      <c r="BU21" s="1295"/>
      <c r="BV21" s="1295"/>
      <c r="BW21" s="1295"/>
      <c r="BX21" s="1295"/>
      <c r="BY21" s="1296"/>
      <c r="BZ21" s="1297"/>
      <c r="CA21" s="1298"/>
      <c r="CB21" s="1298"/>
      <c r="CC21" s="1298"/>
      <c r="CD21" s="1298"/>
      <c r="CE21" s="1299"/>
      <c r="CF21" s="1297"/>
      <c r="CG21" s="1298"/>
      <c r="CH21" s="1298"/>
      <c r="CI21" s="1298"/>
      <c r="CJ21" s="1298"/>
      <c r="CK21" s="1299"/>
      <c r="CL21" s="1297"/>
      <c r="CM21" s="1298"/>
      <c r="CN21" s="1298"/>
      <c r="CO21" s="1298"/>
      <c r="CP21" s="1298"/>
      <c r="CQ21" s="1300"/>
    </row>
    <row r="22" spans="1:95" s="633" customFormat="1" ht="14.25">
      <c r="A22" s="740">
        <v>0.18000000000000002</v>
      </c>
      <c r="B22" s="740">
        <v>0.58000000000000029</v>
      </c>
      <c r="C22" s="740">
        <v>0.98000000000000065</v>
      </c>
      <c r="D22" s="740">
        <v>1.3900000000000003</v>
      </c>
      <c r="E22" s="740" t="str">
        <f t="shared" si="0"/>
        <v/>
      </c>
      <c r="F22" s="740" t="str">
        <f t="shared" si="1"/>
        <v/>
      </c>
      <c r="G22" s="740" t="str">
        <f t="shared" si="5"/>
        <v/>
      </c>
      <c r="H22" s="740" t="str">
        <f t="shared" si="6"/>
        <v/>
      </c>
      <c r="I22" s="740"/>
      <c r="J22" s="649" t="s">
        <v>2515</v>
      </c>
      <c r="K22" s="650"/>
      <c r="L22" s="1292" t="s">
        <v>2516</v>
      </c>
      <c r="M22" s="1292"/>
      <c r="N22" s="1292"/>
      <c r="O22" s="1292"/>
      <c r="P22" s="1292"/>
      <c r="Q22" s="1292"/>
      <c r="R22" s="1292"/>
      <c r="S22" s="1292"/>
      <c r="T22" s="1292"/>
      <c r="U22" s="1292"/>
      <c r="V22" s="1292"/>
      <c r="W22" s="1292"/>
      <c r="X22" s="1292"/>
      <c r="Y22" s="1292"/>
      <c r="Z22" s="1292"/>
      <c r="AA22" s="1292"/>
      <c r="AB22" s="1292"/>
      <c r="AC22" s="1292"/>
      <c r="AD22" s="1292"/>
      <c r="AE22" s="1292"/>
      <c r="AF22" s="1292"/>
      <c r="AG22" s="1292"/>
      <c r="AH22" s="1292"/>
      <c r="AI22" s="1292"/>
      <c r="AJ22" s="1292"/>
      <c r="AK22" s="1292"/>
      <c r="AL22" s="1292"/>
      <c r="AM22" s="1292"/>
      <c r="AN22" s="1292"/>
      <c r="AO22" s="1292"/>
      <c r="AP22" s="1292"/>
      <c r="AQ22" s="1292"/>
      <c r="AR22" s="1292"/>
      <c r="AS22" s="1292"/>
      <c r="AT22" s="1292"/>
      <c r="AU22" s="1292"/>
      <c r="AV22" s="1292"/>
      <c r="AW22" s="1292"/>
      <c r="AX22" s="1292"/>
      <c r="AY22" s="1292"/>
      <c r="AZ22" s="1292"/>
      <c r="BA22" s="1292"/>
      <c r="BB22" s="1292"/>
      <c r="BC22" s="1292"/>
      <c r="BD22" s="1292"/>
      <c r="BE22" s="1292"/>
      <c r="BF22" s="1292"/>
      <c r="BG22" s="1292"/>
      <c r="BH22" s="1292"/>
      <c r="BI22" s="1292"/>
      <c r="BJ22" s="1292"/>
      <c r="BK22" s="1292"/>
      <c r="BL22" s="1292"/>
      <c r="BM22" s="1292"/>
      <c r="BN22" s="1292"/>
      <c r="BO22" s="1292"/>
      <c r="BP22" s="1292"/>
      <c r="BQ22" s="1292"/>
      <c r="BR22" s="1292"/>
      <c r="BS22" s="1293"/>
      <c r="BT22" s="1294" t="str">
        <f t="shared" si="8"/>
        <v/>
      </c>
      <c r="BU22" s="1295"/>
      <c r="BV22" s="1295"/>
      <c r="BW22" s="1295"/>
      <c r="BX22" s="1295"/>
      <c r="BY22" s="1296"/>
      <c r="BZ22" s="1297"/>
      <c r="CA22" s="1298"/>
      <c r="CB22" s="1298"/>
      <c r="CC22" s="1298"/>
      <c r="CD22" s="1298"/>
      <c r="CE22" s="1299"/>
      <c r="CF22" s="1297"/>
      <c r="CG22" s="1298"/>
      <c r="CH22" s="1298"/>
      <c r="CI22" s="1298"/>
      <c r="CJ22" s="1298"/>
      <c r="CK22" s="1299"/>
      <c r="CL22" s="1297"/>
      <c r="CM22" s="1298"/>
      <c r="CN22" s="1298"/>
      <c r="CO22" s="1298"/>
      <c r="CP22" s="1298"/>
      <c r="CQ22" s="1300"/>
    </row>
    <row r="23" spans="1:95" s="633" customFormat="1" ht="14.25">
      <c r="A23" s="740">
        <v>0.19000000000000003</v>
      </c>
      <c r="B23" s="740">
        <v>0.5900000000000003</v>
      </c>
      <c r="C23" s="740">
        <v>0.99000000000000066</v>
      </c>
      <c r="D23" s="740">
        <v>1.4000000000000004</v>
      </c>
      <c r="E23" s="740" t="str">
        <f t="shared" si="0"/>
        <v/>
      </c>
      <c r="F23" s="740" t="str">
        <f t="shared" si="1"/>
        <v/>
      </c>
      <c r="G23" s="740" t="str">
        <f t="shared" si="5"/>
        <v/>
      </c>
      <c r="H23" s="740" t="str">
        <f t="shared" si="6"/>
        <v/>
      </c>
      <c r="I23" s="740"/>
      <c r="J23" s="648" t="s">
        <v>2517</v>
      </c>
      <c r="K23" s="1313" t="s">
        <v>2518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4"/>
      <c r="Y23" s="1314"/>
      <c r="Z23" s="1314"/>
      <c r="AA23" s="1314"/>
      <c r="AB23" s="1314"/>
      <c r="AC23" s="1314"/>
      <c r="AD23" s="1314"/>
      <c r="AE23" s="1314"/>
      <c r="AF23" s="1314"/>
      <c r="AG23" s="1314"/>
      <c r="AH23" s="1314"/>
      <c r="AI23" s="1314"/>
      <c r="AJ23" s="1314"/>
      <c r="AK23" s="1314"/>
      <c r="AL23" s="1314"/>
      <c r="AM23" s="1314"/>
      <c r="AN23" s="1314"/>
      <c r="AO23" s="1314"/>
      <c r="AP23" s="1314"/>
      <c r="AQ23" s="1314"/>
      <c r="AR23" s="1314"/>
      <c r="AS23" s="1314"/>
      <c r="AT23" s="1314"/>
      <c r="AU23" s="1314"/>
      <c r="AV23" s="1314"/>
      <c r="AW23" s="1314"/>
      <c r="AX23" s="1314"/>
      <c r="AY23" s="1314"/>
      <c r="AZ23" s="1314"/>
      <c r="BA23" s="1314"/>
      <c r="BB23" s="1314"/>
      <c r="BC23" s="1314"/>
      <c r="BD23" s="1314"/>
      <c r="BE23" s="1314"/>
      <c r="BF23" s="1314"/>
      <c r="BG23" s="1314"/>
      <c r="BH23" s="1314"/>
      <c r="BI23" s="1314"/>
      <c r="BJ23" s="1314"/>
      <c r="BK23" s="1314"/>
      <c r="BL23" s="1314"/>
      <c r="BM23" s="1314"/>
      <c r="BN23" s="1314"/>
      <c r="BO23" s="1314"/>
      <c r="BP23" s="1314"/>
      <c r="BQ23" s="1314"/>
      <c r="BR23" s="1314"/>
      <c r="BS23" s="1315"/>
      <c r="BT23" s="1237" t="str">
        <f>IFERROR(IF(AND(BZ23,CF23)="","",SUM(BZ23)+SUM(CF23)),"")</f>
        <v/>
      </c>
      <c r="BU23" s="1238"/>
      <c r="BV23" s="1238"/>
      <c r="BW23" s="1238"/>
      <c r="BX23" s="1238"/>
      <c r="BY23" s="1239"/>
      <c r="BZ23" s="1305" t="str">
        <f t="array" ref="BZ23">IF(AND(ISBLANK(BZ24:BZ26)),"",SUM(BZ24:BZ26))</f>
        <v/>
      </c>
      <c r="CA23" s="1238"/>
      <c r="CB23" s="1238"/>
      <c r="CC23" s="1238"/>
      <c r="CD23" s="1238"/>
      <c r="CE23" s="1239"/>
      <c r="CF23" s="1305" t="str">
        <f t="array" ref="CF23">IF(AND(ISBLANK(CF24:CF26)),"",SUM(CF24:CF26))</f>
        <v/>
      </c>
      <c r="CG23" s="1238"/>
      <c r="CH23" s="1238"/>
      <c r="CI23" s="1238"/>
      <c r="CJ23" s="1238"/>
      <c r="CK23" s="1239"/>
      <c r="CL23" s="1305" t="str">
        <f t="array" ref="CL23">IF(AND(ISBLANK(CL24:CL26)),"",SUM(CL24:CL26))</f>
        <v/>
      </c>
      <c r="CM23" s="1238"/>
      <c r="CN23" s="1238"/>
      <c r="CO23" s="1238"/>
      <c r="CP23" s="1238"/>
      <c r="CQ23" s="1306"/>
    </row>
    <row r="24" spans="1:95" s="633" customFormat="1" ht="14.25">
      <c r="A24" s="740">
        <v>0.20000000000000004</v>
      </c>
      <c r="B24" s="740">
        <v>0.60000000000000031</v>
      </c>
      <c r="C24" s="740">
        <v>1.01</v>
      </c>
      <c r="D24" s="740">
        <v>1.4100000000000004</v>
      </c>
      <c r="E24" s="740" t="str">
        <f t="shared" si="0"/>
        <v/>
      </c>
      <c r="F24" s="740" t="str">
        <f t="shared" si="1"/>
        <v/>
      </c>
      <c r="G24" s="740" t="str">
        <f t="shared" si="5"/>
        <v/>
      </c>
      <c r="H24" s="740" t="str">
        <f t="shared" si="6"/>
        <v/>
      </c>
      <c r="I24" s="740"/>
      <c r="J24" s="649" t="s">
        <v>2519</v>
      </c>
      <c r="K24" s="650"/>
      <c r="L24" s="1292" t="s">
        <v>2520</v>
      </c>
      <c r="M24" s="1292"/>
      <c r="N24" s="1292"/>
      <c r="O24" s="1292"/>
      <c r="P24" s="1292"/>
      <c r="Q24" s="1292"/>
      <c r="R24" s="1292"/>
      <c r="S24" s="1292"/>
      <c r="T24" s="1292"/>
      <c r="U24" s="1292"/>
      <c r="V24" s="1292"/>
      <c r="W24" s="1292"/>
      <c r="X24" s="1292"/>
      <c r="Y24" s="1292"/>
      <c r="Z24" s="1292"/>
      <c r="AA24" s="1292"/>
      <c r="AB24" s="1292"/>
      <c r="AC24" s="1292"/>
      <c r="AD24" s="1292"/>
      <c r="AE24" s="1292"/>
      <c r="AF24" s="1292"/>
      <c r="AG24" s="1292"/>
      <c r="AH24" s="1292"/>
      <c r="AI24" s="1292"/>
      <c r="AJ24" s="1292"/>
      <c r="AK24" s="1292"/>
      <c r="AL24" s="1292"/>
      <c r="AM24" s="1292"/>
      <c r="AN24" s="1292"/>
      <c r="AO24" s="1292"/>
      <c r="AP24" s="1292"/>
      <c r="AQ24" s="1292"/>
      <c r="AR24" s="1292"/>
      <c r="AS24" s="1292"/>
      <c r="AT24" s="1292"/>
      <c r="AU24" s="1292"/>
      <c r="AV24" s="1292"/>
      <c r="AW24" s="1292"/>
      <c r="AX24" s="1292"/>
      <c r="AY24" s="1292"/>
      <c r="AZ24" s="1292"/>
      <c r="BA24" s="1292"/>
      <c r="BB24" s="1292"/>
      <c r="BC24" s="1292"/>
      <c r="BD24" s="1292"/>
      <c r="BE24" s="1292"/>
      <c r="BF24" s="1292"/>
      <c r="BG24" s="1292"/>
      <c r="BH24" s="1292"/>
      <c r="BI24" s="1292"/>
      <c r="BJ24" s="1292"/>
      <c r="BK24" s="1292"/>
      <c r="BL24" s="1292"/>
      <c r="BM24" s="1292"/>
      <c r="BN24" s="1292"/>
      <c r="BO24" s="1292"/>
      <c r="BP24" s="1292"/>
      <c r="BQ24" s="1292"/>
      <c r="BR24" s="1292"/>
      <c r="BS24" s="1293"/>
      <c r="BT24" s="1294" t="str">
        <f>IFERROR(IF(AND(BZ24,CF24)="","",SUM(BZ24)+SUM(CF24)),"")</f>
        <v/>
      </c>
      <c r="BU24" s="1295"/>
      <c r="BV24" s="1295"/>
      <c r="BW24" s="1295"/>
      <c r="BX24" s="1295"/>
      <c r="BY24" s="1296"/>
      <c r="BZ24" s="1297"/>
      <c r="CA24" s="1298"/>
      <c r="CB24" s="1298"/>
      <c r="CC24" s="1298"/>
      <c r="CD24" s="1298"/>
      <c r="CE24" s="1299"/>
      <c r="CF24" s="1297"/>
      <c r="CG24" s="1298"/>
      <c r="CH24" s="1298"/>
      <c r="CI24" s="1298"/>
      <c r="CJ24" s="1298"/>
      <c r="CK24" s="1299"/>
      <c r="CL24" s="1297"/>
      <c r="CM24" s="1298"/>
      <c r="CN24" s="1298"/>
      <c r="CO24" s="1298"/>
      <c r="CP24" s="1298"/>
      <c r="CQ24" s="1300"/>
    </row>
    <row r="25" spans="1:95" s="633" customFormat="1" ht="14.25">
      <c r="A25" s="740">
        <v>0.21000000000000005</v>
      </c>
      <c r="B25" s="740">
        <v>0.61000000000000032</v>
      </c>
      <c r="C25" s="740">
        <v>1.02</v>
      </c>
      <c r="D25" s="740">
        <v>1.4200000000000004</v>
      </c>
      <c r="E25" s="740" t="str">
        <f t="shared" si="0"/>
        <v/>
      </c>
      <c r="F25" s="740" t="str">
        <f t="shared" si="1"/>
        <v/>
      </c>
      <c r="G25" s="740" t="str">
        <f t="shared" si="5"/>
        <v/>
      </c>
      <c r="H25" s="740" t="str">
        <f t="shared" si="6"/>
        <v/>
      </c>
      <c r="I25" s="740"/>
      <c r="J25" s="649" t="s">
        <v>2521</v>
      </c>
      <c r="K25" s="650"/>
      <c r="L25" s="1292" t="s">
        <v>2522</v>
      </c>
      <c r="M25" s="1292"/>
      <c r="N25" s="1292"/>
      <c r="O25" s="1292"/>
      <c r="P25" s="1292"/>
      <c r="Q25" s="1292"/>
      <c r="R25" s="1292"/>
      <c r="S25" s="1292"/>
      <c r="T25" s="1292"/>
      <c r="U25" s="1292"/>
      <c r="V25" s="1292"/>
      <c r="W25" s="1292"/>
      <c r="X25" s="1292"/>
      <c r="Y25" s="1292"/>
      <c r="Z25" s="1292"/>
      <c r="AA25" s="1292"/>
      <c r="AB25" s="1292"/>
      <c r="AC25" s="1292"/>
      <c r="AD25" s="1292"/>
      <c r="AE25" s="1292"/>
      <c r="AF25" s="1292"/>
      <c r="AG25" s="1292"/>
      <c r="AH25" s="1292"/>
      <c r="AI25" s="1292"/>
      <c r="AJ25" s="1292"/>
      <c r="AK25" s="1292"/>
      <c r="AL25" s="1292"/>
      <c r="AM25" s="1292"/>
      <c r="AN25" s="1292"/>
      <c r="AO25" s="1292"/>
      <c r="AP25" s="1292"/>
      <c r="AQ25" s="1292"/>
      <c r="AR25" s="1292"/>
      <c r="AS25" s="1292"/>
      <c r="AT25" s="1292"/>
      <c r="AU25" s="1292"/>
      <c r="AV25" s="1292"/>
      <c r="AW25" s="1292"/>
      <c r="AX25" s="1292"/>
      <c r="AY25" s="1292"/>
      <c r="AZ25" s="1292"/>
      <c r="BA25" s="1292"/>
      <c r="BB25" s="1292"/>
      <c r="BC25" s="1292"/>
      <c r="BD25" s="1292"/>
      <c r="BE25" s="1292"/>
      <c r="BF25" s="1292"/>
      <c r="BG25" s="1292"/>
      <c r="BH25" s="1292"/>
      <c r="BI25" s="1292"/>
      <c r="BJ25" s="1292"/>
      <c r="BK25" s="1292"/>
      <c r="BL25" s="1292"/>
      <c r="BM25" s="1292"/>
      <c r="BN25" s="1292"/>
      <c r="BO25" s="1292"/>
      <c r="BP25" s="1292"/>
      <c r="BQ25" s="1292"/>
      <c r="BR25" s="1292"/>
      <c r="BS25" s="1293"/>
      <c r="BT25" s="1294" t="str">
        <f>IFERROR(IF(AND(BZ25,CF25)="","",SUM(BZ25)+SUM(CF25)),"")</f>
        <v/>
      </c>
      <c r="BU25" s="1295"/>
      <c r="BV25" s="1295"/>
      <c r="BW25" s="1295"/>
      <c r="BX25" s="1295"/>
      <c r="BY25" s="1296"/>
      <c r="BZ25" s="1297"/>
      <c r="CA25" s="1298"/>
      <c r="CB25" s="1298"/>
      <c r="CC25" s="1298"/>
      <c r="CD25" s="1298"/>
      <c r="CE25" s="1299"/>
      <c r="CF25" s="1297"/>
      <c r="CG25" s="1298"/>
      <c r="CH25" s="1298"/>
      <c r="CI25" s="1298"/>
      <c r="CJ25" s="1298"/>
      <c r="CK25" s="1299"/>
      <c r="CL25" s="1297"/>
      <c r="CM25" s="1298"/>
      <c r="CN25" s="1298"/>
      <c r="CO25" s="1298"/>
      <c r="CP25" s="1298"/>
      <c r="CQ25" s="1300"/>
    </row>
    <row r="26" spans="1:95" s="633" customFormat="1" ht="14.25">
      <c r="A26" s="740">
        <v>0.22000000000000006</v>
      </c>
      <c r="B26" s="740">
        <v>0.62000000000000033</v>
      </c>
      <c r="C26" s="740">
        <v>1.03</v>
      </c>
      <c r="D26" s="740">
        <v>1.4300000000000004</v>
      </c>
      <c r="E26" s="740" t="str">
        <f t="shared" si="0"/>
        <v/>
      </c>
      <c r="F26" s="740" t="str">
        <f t="shared" si="1"/>
        <v/>
      </c>
      <c r="G26" s="740" t="str">
        <f t="shared" si="5"/>
        <v/>
      </c>
      <c r="H26" s="740" t="str">
        <f t="shared" si="6"/>
        <v/>
      </c>
      <c r="I26" s="740"/>
      <c r="J26" s="649" t="s">
        <v>2523</v>
      </c>
      <c r="K26" s="650"/>
      <c r="L26" s="1292" t="s">
        <v>2524</v>
      </c>
      <c r="M26" s="1292"/>
      <c r="N26" s="1292"/>
      <c r="O26" s="1292"/>
      <c r="P26" s="1292"/>
      <c r="Q26" s="1292"/>
      <c r="R26" s="1292"/>
      <c r="S26" s="1292"/>
      <c r="T26" s="1292"/>
      <c r="U26" s="1292"/>
      <c r="V26" s="1292"/>
      <c r="W26" s="1292"/>
      <c r="X26" s="1292"/>
      <c r="Y26" s="1292"/>
      <c r="Z26" s="1292"/>
      <c r="AA26" s="1292"/>
      <c r="AB26" s="1292"/>
      <c r="AC26" s="1292"/>
      <c r="AD26" s="1292"/>
      <c r="AE26" s="1292"/>
      <c r="AF26" s="1292"/>
      <c r="AG26" s="1292"/>
      <c r="AH26" s="1292"/>
      <c r="AI26" s="1292"/>
      <c r="AJ26" s="1292"/>
      <c r="AK26" s="1292"/>
      <c r="AL26" s="1292"/>
      <c r="AM26" s="1292"/>
      <c r="AN26" s="1292"/>
      <c r="AO26" s="1292"/>
      <c r="AP26" s="1292"/>
      <c r="AQ26" s="1292"/>
      <c r="AR26" s="1292"/>
      <c r="AS26" s="1292"/>
      <c r="AT26" s="1292"/>
      <c r="AU26" s="1292"/>
      <c r="AV26" s="1292"/>
      <c r="AW26" s="1292"/>
      <c r="AX26" s="1292"/>
      <c r="AY26" s="1292"/>
      <c r="AZ26" s="1292"/>
      <c r="BA26" s="1292"/>
      <c r="BB26" s="1292"/>
      <c r="BC26" s="1292"/>
      <c r="BD26" s="1292"/>
      <c r="BE26" s="1292"/>
      <c r="BF26" s="1292"/>
      <c r="BG26" s="1292"/>
      <c r="BH26" s="1292"/>
      <c r="BI26" s="1292"/>
      <c r="BJ26" s="1292"/>
      <c r="BK26" s="1292"/>
      <c r="BL26" s="1292"/>
      <c r="BM26" s="1292"/>
      <c r="BN26" s="1292"/>
      <c r="BO26" s="1292"/>
      <c r="BP26" s="1292"/>
      <c r="BQ26" s="1292"/>
      <c r="BR26" s="1292"/>
      <c r="BS26" s="1293"/>
      <c r="BT26" s="1294" t="str">
        <f>IFERROR(IF(AND(BZ26,CF26)="","",SUM(BZ26)+SUM(CF26)),"")</f>
        <v/>
      </c>
      <c r="BU26" s="1295"/>
      <c r="BV26" s="1295"/>
      <c r="BW26" s="1295"/>
      <c r="BX26" s="1295"/>
      <c r="BY26" s="1296"/>
      <c r="BZ26" s="1297"/>
      <c r="CA26" s="1298"/>
      <c r="CB26" s="1298"/>
      <c r="CC26" s="1298"/>
      <c r="CD26" s="1298"/>
      <c r="CE26" s="1299"/>
      <c r="CF26" s="1297"/>
      <c r="CG26" s="1298"/>
      <c r="CH26" s="1298"/>
      <c r="CI26" s="1298"/>
      <c r="CJ26" s="1298"/>
      <c r="CK26" s="1299"/>
      <c r="CL26" s="1297"/>
      <c r="CM26" s="1298"/>
      <c r="CN26" s="1298"/>
      <c r="CO26" s="1298"/>
      <c r="CP26" s="1298"/>
      <c r="CQ26" s="1300"/>
    </row>
    <row r="27" spans="1:95" s="633" customFormat="1" ht="14.25">
      <c r="A27" s="740">
        <v>0.23000000000000007</v>
      </c>
      <c r="B27" s="740">
        <v>0.63000000000000034</v>
      </c>
      <c r="C27" s="740">
        <v>1.04</v>
      </c>
      <c r="D27" s="740">
        <v>1.4400000000000004</v>
      </c>
      <c r="E27" s="740" t="str">
        <f t="shared" si="0"/>
        <v/>
      </c>
      <c r="F27" s="740" t="str">
        <f t="shared" si="1"/>
        <v/>
      </c>
      <c r="G27" s="740"/>
      <c r="H27" s="740"/>
      <c r="I27" s="740"/>
      <c r="J27" s="648" t="s">
        <v>2525</v>
      </c>
      <c r="K27" s="1234" t="s">
        <v>2526</v>
      </c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235"/>
      <c r="AE27" s="1235"/>
      <c r="AF27" s="1235"/>
      <c r="AG27" s="1235"/>
      <c r="AH27" s="1235"/>
      <c r="AI27" s="1235"/>
      <c r="AJ27" s="1235"/>
      <c r="AK27" s="1235"/>
      <c r="AL27" s="1235"/>
      <c r="AM27" s="1235"/>
      <c r="AN27" s="1235"/>
      <c r="AO27" s="1235"/>
      <c r="AP27" s="1235"/>
      <c r="AQ27" s="1235"/>
      <c r="AR27" s="1235"/>
      <c r="AS27" s="1235"/>
      <c r="AT27" s="1235"/>
      <c r="AU27" s="1235"/>
      <c r="AV27" s="1235"/>
      <c r="AW27" s="1235"/>
      <c r="AX27" s="1235"/>
      <c r="AY27" s="1235"/>
      <c r="AZ27" s="1235"/>
      <c r="BA27" s="1235"/>
      <c r="BB27" s="1235"/>
      <c r="BC27" s="1235"/>
      <c r="BD27" s="1235"/>
      <c r="BE27" s="1235"/>
      <c r="BF27" s="1235"/>
      <c r="BG27" s="1235"/>
      <c r="BH27" s="1235"/>
      <c r="BI27" s="1235"/>
      <c r="BJ27" s="1235"/>
      <c r="BK27" s="1235"/>
      <c r="BL27" s="1235"/>
      <c r="BM27" s="1235"/>
      <c r="BN27" s="1235"/>
      <c r="BO27" s="1235"/>
      <c r="BP27" s="1235"/>
      <c r="BQ27" s="1235"/>
      <c r="BR27" s="1235"/>
      <c r="BS27" s="1236"/>
      <c r="BT27" s="1237" t="str">
        <f>IFERROR(IF(AND(BZ27)="","",SUM(BZ27)),"")</f>
        <v/>
      </c>
      <c r="BU27" s="1238"/>
      <c r="BV27" s="1238"/>
      <c r="BW27" s="1238"/>
      <c r="BX27" s="1238"/>
      <c r="BY27" s="1239"/>
      <c r="BZ27" s="1240"/>
      <c r="CA27" s="1241"/>
      <c r="CB27" s="1241"/>
      <c r="CC27" s="1241"/>
      <c r="CD27" s="1241"/>
      <c r="CE27" s="1242"/>
      <c r="CF27" s="1309" t="s">
        <v>2494</v>
      </c>
      <c r="CG27" s="1310"/>
      <c r="CH27" s="1310"/>
      <c r="CI27" s="1310"/>
      <c r="CJ27" s="1310"/>
      <c r="CK27" s="1311"/>
      <c r="CL27" s="1309" t="s">
        <v>2494</v>
      </c>
      <c r="CM27" s="1310"/>
      <c r="CN27" s="1310"/>
      <c r="CO27" s="1310"/>
      <c r="CP27" s="1310"/>
      <c r="CQ27" s="1312"/>
    </row>
    <row r="28" spans="1:95" s="633" customFormat="1" ht="14.25">
      <c r="A28" s="740">
        <v>0.24000000000000007</v>
      </c>
      <c r="B28" s="740">
        <v>0.64000000000000035</v>
      </c>
      <c r="C28" s="740">
        <v>1.05</v>
      </c>
      <c r="D28" s="740">
        <v>1.4500000000000004</v>
      </c>
      <c r="E28" s="740" t="str">
        <f t="shared" si="0"/>
        <v/>
      </c>
      <c r="F28" s="740" t="str">
        <f t="shared" si="1"/>
        <v/>
      </c>
      <c r="G28" s="740" t="str">
        <f t="shared" ref="G28:G40" si="9">IF(LEN(CF28)=0,"",1+ABS((CF28*C28)/LEN(CF28))+C28)</f>
        <v/>
      </c>
      <c r="H28" s="740" t="str">
        <f t="shared" ref="H28:H40" si="10">IF(LEN(CL28)=0,"",1+ABS((CL28*D28)/LEN(CL28))+D28)</f>
        <v/>
      </c>
      <c r="I28" s="740"/>
      <c r="J28" s="648" t="s">
        <v>2527</v>
      </c>
      <c r="K28" s="1234" t="s">
        <v>2528</v>
      </c>
      <c r="L28" s="1235"/>
      <c r="M28" s="1235"/>
      <c r="N28" s="1235"/>
      <c r="O28" s="1235"/>
      <c r="P28" s="1235"/>
      <c r="Q28" s="1235"/>
      <c r="R28" s="1235"/>
      <c r="S28" s="1235"/>
      <c r="T28" s="1235"/>
      <c r="U28" s="1235"/>
      <c r="V28" s="1235"/>
      <c r="W28" s="1235"/>
      <c r="X28" s="1235"/>
      <c r="Y28" s="1235"/>
      <c r="Z28" s="1235"/>
      <c r="AA28" s="1235"/>
      <c r="AB28" s="1235"/>
      <c r="AC28" s="1235"/>
      <c r="AD28" s="1235"/>
      <c r="AE28" s="1235"/>
      <c r="AF28" s="1235"/>
      <c r="AG28" s="1235"/>
      <c r="AH28" s="1235"/>
      <c r="AI28" s="1235"/>
      <c r="AJ28" s="1235"/>
      <c r="AK28" s="1235"/>
      <c r="AL28" s="1235"/>
      <c r="AM28" s="1235"/>
      <c r="AN28" s="1235"/>
      <c r="AO28" s="1235"/>
      <c r="AP28" s="1235"/>
      <c r="AQ28" s="1235"/>
      <c r="AR28" s="1235"/>
      <c r="AS28" s="1235"/>
      <c r="AT28" s="1235"/>
      <c r="AU28" s="1235"/>
      <c r="AV28" s="1235"/>
      <c r="AW28" s="1235"/>
      <c r="AX28" s="1235"/>
      <c r="AY28" s="1235"/>
      <c r="AZ28" s="1235"/>
      <c r="BA28" s="1235"/>
      <c r="BB28" s="1235"/>
      <c r="BC28" s="1235"/>
      <c r="BD28" s="1235"/>
      <c r="BE28" s="1235"/>
      <c r="BF28" s="1235"/>
      <c r="BG28" s="1235"/>
      <c r="BH28" s="1235"/>
      <c r="BI28" s="1235"/>
      <c r="BJ28" s="1235"/>
      <c r="BK28" s="1235"/>
      <c r="BL28" s="1235"/>
      <c r="BM28" s="1235"/>
      <c r="BN28" s="1235"/>
      <c r="BO28" s="1235"/>
      <c r="BP28" s="1235"/>
      <c r="BQ28" s="1235"/>
      <c r="BR28" s="1235"/>
      <c r="BS28" s="1236"/>
      <c r="BT28" s="1237" t="str">
        <f>IFERROR(IF(AND(BZ28,CF28)="","",SUM(BZ28)+SUM(CF28)),"")</f>
        <v/>
      </c>
      <c r="BU28" s="1238"/>
      <c r="BV28" s="1238"/>
      <c r="BW28" s="1238"/>
      <c r="BX28" s="1238"/>
      <c r="BY28" s="1239"/>
      <c r="BZ28" s="1305" t="str">
        <f t="array" ref="BZ28">IF(AND(ISBLANK(BZ29:BZ30)),"",SUM(BZ29:BZ30))</f>
        <v/>
      </c>
      <c r="CA28" s="1238"/>
      <c r="CB28" s="1238"/>
      <c r="CC28" s="1238"/>
      <c r="CD28" s="1238"/>
      <c r="CE28" s="1239"/>
      <c r="CF28" s="1305" t="str">
        <f t="array" ref="CF28">IF(AND(ISBLANK(CF29:CF30)),"",SUM(CF29:CF30))</f>
        <v/>
      </c>
      <c r="CG28" s="1238"/>
      <c r="CH28" s="1238"/>
      <c r="CI28" s="1238"/>
      <c r="CJ28" s="1238"/>
      <c r="CK28" s="1239"/>
      <c r="CL28" s="1305" t="str">
        <f t="array" ref="CL28">IF(AND(ISBLANK(CL29:CL30)),"",SUM(CL29:CL30))</f>
        <v/>
      </c>
      <c r="CM28" s="1238"/>
      <c r="CN28" s="1238"/>
      <c r="CO28" s="1238"/>
      <c r="CP28" s="1238"/>
      <c r="CQ28" s="1306"/>
    </row>
    <row r="29" spans="1:95" s="633" customFormat="1" ht="14.25">
      <c r="A29" s="740">
        <v>0.25000000000000006</v>
      </c>
      <c r="B29" s="740">
        <v>0.65000000000000036</v>
      </c>
      <c r="C29" s="740">
        <v>1.06</v>
      </c>
      <c r="D29" s="740">
        <v>1.4600000000000004</v>
      </c>
      <c r="E29" s="740" t="str">
        <f t="shared" si="0"/>
        <v/>
      </c>
      <c r="F29" s="740" t="str">
        <f t="shared" si="1"/>
        <v/>
      </c>
      <c r="G29" s="740" t="str">
        <f t="shared" si="9"/>
        <v/>
      </c>
      <c r="H29" s="740" t="str">
        <f t="shared" si="10"/>
        <v/>
      </c>
      <c r="I29" s="740"/>
      <c r="J29" s="649" t="s">
        <v>2529</v>
      </c>
      <c r="K29" s="650"/>
      <c r="L29" s="1292" t="s">
        <v>2530</v>
      </c>
      <c r="M29" s="1292"/>
      <c r="N29" s="1292"/>
      <c r="O29" s="1292"/>
      <c r="P29" s="1292"/>
      <c r="Q29" s="1292"/>
      <c r="R29" s="1292"/>
      <c r="S29" s="1292"/>
      <c r="T29" s="1292"/>
      <c r="U29" s="1292"/>
      <c r="V29" s="1292"/>
      <c r="W29" s="1292"/>
      <c r="X29" s="1292"/>
      <c r="Y29" s="1292"/>
      <c r="Z29" s="1292"/>
      <c r="AA29" s="1292"/>
      <c r="AB29" s="1292"/>
      <c r="AC29" s="1292"/>
      <c r="AD29" s="1292"/>
      <c r="AE29" s="1292"/>
      <c r="AF29" s="1292"/>
      <c r="AG29" s="1292"/>
      <c r="AH29" s="1292"/>
      <c r="AI29" s="1292"/>
      <c r="AJ29" s="1292"/>
      <c r="AK29" s="1292"/>
      <c r="AL29" s="1292"/>
      <c r="AM29" s="1292"/>
      <c r="AN29" s="1292"/>
      <c r="AO29" s="1292"/>
      <c r="AP29" s="1292"/>
      <c r="AQ29" s="1292"/>
      <c r="AR29" s="1292"/>
      <c r="AS29" s="1292"/>
      <c r="AT29" s="1292"/>
      <c r="AU29" s="1292"/>
      <c r="AV29" s="1292"/>
      <c r="AW29" s="1292"/>
      <c r="AX29" s="1292"/>
      <c r="AY29" s="1292"/>
      <c r="AZ29" s="1292"/>
      <c r="BA29" s="1292"/>
      <c r="BB29" s="1292"/>
      <c r="BC29" s="1292"/>
      <c r="BD29" s="1292"/>
      <c r="BE29" s="1292"/>
      <c r="BF29" s="1292"/>
      <c r="BG29" s="1292"/>
      <c r="BH29" s="1292"/>
      <c r="BI29" s="1292"/>
      <c r="BJ29" s="1292"/>
      <c r="BK29" s="1292"/>
      <c r="BL29" s="1292"/>
      <c r="BM29" s="1292"/>
      <c r="BN29" s="1292"/>
      <c r="BO29" s="1292"/>
      <c r="BP29" s="1292"/>
      <c r="BQ29" s="1292"/>
      <c r="BR29" s="1292"/>
      <c r="BS29" s="1293"/>
      <c r="BT29" s="1294" t="str">
        <f t="shared" ref="BT29:BT40" si="11">IFERROR(IF(AND(BZ29,CF29)="","",SUM(BZ29)+SUM(CF29)),"")</f>
        <v/>
      </c>
      <c r="BU29" s="1295"/>
      <c r="BV29" s="1295"/>
      <c r="BW29" s="1295"/>
      <c r="BX29" s="1295"/>
      <c r="BY29" s="1296"/>
      <c r="BZ29" s="1297"/>
      <c r="CA29" s="1298"/>
      <c r="CB29" s="1298"/>
      <c r="CC29" s="1298"/>
      <c r="CD29" s="1298"/>
      <c r="CE29" s="1299"/>
      <c r="CF29" s="1297"/>
      <c r="CG29" s="1298"/>
      <c r="CH29" s="1298"/>
      <c r="CI29" s="1298"/>
      <c r="CJ29" s="1298"/>
      <c r="CK29" s="1299"/>
      <c r="CL29" s="1297"/>
      <c r="CM29" s="1298"/>
      <c r="CN29" s="1298"/>
      <c r="CO29" s="1298"/>
      <c r="CP29" s="1298"/>
      <c r="CQ29" s="1300"/>
    </row>
    <row r="30" spans="1:95" s="633" customFormat="1" ht="14.25">
      <c r="A30" s="740">
        <v>0.26000000000000006</v>
      </c>
      <c r="B30" s="740">
        <v>0.66000000000000036</v>
      </c>
      <c r="C30" s="740">
        <v>1.07</v>
      </c>
      <c r="D30" s="740">
        <v>1.4700000000000004</v>
      </c>
      <c r="E30" s="740" t="str">
        <f t="shared" si="0"/>
        <v/>
      </c>
      <c r="F30" s="740" t="str">
        <f t="shared" si="1"/>
        <v/>
      </c>
      <c r="G30" s="740" t="str">
        <f t="shared" si="9"/>
        <v/>
      </c>
      <c r="H30" s="740" t="str">
        <f t="shared" si="10"/>
        <v/>
      </c>
      <c r="I30" s="740"/>
      <c r="J30" s="649" t="s">
        <v>2531</v>
      </c>
      <c r="K30" s="650"/>
      <c r="L30" s="1292" t="s">
        <v>2532</v>
      </c>
      <c r="M30" s="1292"/>
      <c r="N30" s="1292"/>
      <c r="O30" s="1292"/>
      <c r="P30" s="1292"/>
      <c r="Q30" s="1292"/>
      <c r="R30" s="1292"/>
      <c r="S30" s="1292"/>
      <c r="T30" s="1292"/>
      <c r="U30" s="1292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2"/>
      <c r="AH30" s="1292"/>
      <c r="AI30" s="1292"/>
      <c r="AJ30" s="1292"/>
      <c r="AK30" s="1292"/>
      <c r="AL30" s="1292"/>
      <c r="AM30" s="1292"/>
      <c r="AN30" s="1292"/>
      <c r="AO30" s="1292"/>
      <c r="AP30" s="1292"/>
      <c r="AQ30" s="1292"/>
      <c r="AR30" s="1292"/>
      <c r="AS30" s="1292"/>
      <c r="AT30" s="1292"/>
      <c r="AU30" s="1292"/>
      <c r="AV30" s="1292"/>
      <c r="AW30" s="1292"/>
      <c r="AX30" s="1292"/>
      <c r="AY30" s="1292"/>
      <c r="AZ30" s="1292"/>
      <c r="BA30" s="1292"/>
      <c r="BB30" s="1292"/>
      <c r="BC30" s="1292"/>
      <c r="BD30" s="1292"/>
      <c r="BE30" s="1292"/>
      <c r="BF30" s="1292"/>
      <c r="BG30" s="1292"/>
      <c r="BH30" s="1292"/>
      <c r="BI30" s="1292"/>
      <c r="BJ30" s="1292"/>
      <c r="BK30" s="1292"/>
      <c r="BL30" s="1292"/>
      <c r="BM30" s="1292"/>
      <c r="BN30" s="1292"/>
      <c r="BO30" s="1292"/>
      <c r="BP30" s="1292"/>
      <c r="BQ30" s="1292"/>
      <c r="BR30" s="1292"/>
      <c r="BS30" s="1293"/>
      <c r="BT30" s="1294" t="str">
        <f t="shared" si="11"/>
        <v/>
      </c>
      <c r="BU30" s="1295"/>
      <c r="BV30" s="1295"/>
      <c r="BW30" s="1295"/>
      <c r="BX30" s="1295"/>
      <c r="BY30" s="1296"/>
      <c r="BZ30" s="1297"/>
      <c r="CA30" s="1298"/>
      <c r="CB30" s="1298"/>
      <c r="CC30" s="1298"/>
      <c r="CD30" s="1298"/>
      <c r="CE30" s="1299"/>
      <c r="CF30" s="1297"/>
      <c r="CG30" s="1298"/>
      <c r="CH30" s="1298"/>
      <c r="CI30" s="1298"/>
      <c r="CJ30" s="1298"/>
      <c r="CK30" s="1299"/>
      <c r="CL30" s="1297"/>
      <c r="CM30" s="1298"/>
      <c r="CN30" s="1298"/>
      <c r="CO30" s="1298"/>
      <c r="CP30" s="1298"/>
      <c r="CQ30" s="1300"/>
    </row>
    <row r="31" spans="1:95" s="633" customFormat="1" ht="14.25">
      <c r="A31" s="740">
        <v>0.27000000000000007</v>
      </c>
      <c r="B31" s="740">
        <v>0.67000000000000037</v>
      </c>
      <c r="C31" s="740">
        <v>1.08</v>
      </c>
      <c r="D31" s="740">
        <v>1.4800000000000004</v>
      </c>
      <c r="E31" s="740" t="str">
        <f t="shared" si="0"/>
        <v/>
      </c>
      <c r="F31" s="740" t="str">
        <f t="shared" si="1"/>
        <v/>
      </c>
      <c r="G31" s="740" t="str">
        <f t="shared" si="9"/>
        <v/>
      </c>
      <c r="H31" s="740" t="str">
        <f t="shared" si="10"/>
        <v/>
      </c>
      <c r="I31" s="740"/>
      <c r="J31" s="648" t="s">
        <v>2533</v>
      </c>
      <c r="K31" s="1234" t="s">
        <v>2534</v>
      </c>
      <c r="L31" s="1235"/>
      <c r="M31" s="1235"/>
      <c r="N31" s="1235"/>
      <c r="O31" s="1235"/>
      <c r="P31" s="1235"/>
      <c r="Q31" s="1235"/>
      <c r="R31" s="1235"/>
      <c r="S31" s="1235"/>
      <c r="T31" s="1235"/>
      <c r="U31" s="1235"/>
      <c r="V31" s="1235"/>
      <c r="W31" s="1235"/>
      <c r="X31" s="1235"/>
      <c r="Y31" s="1235"/>
      <c r="Z31" s="1235"/>
      <c r="AA31" s="1235"/>
      <c r="AB31" s="1235"/>
      <c r="AC31" s="1235"/>
      <c r="AD31" s="1235"/>
      <c r="AE31" s="1235"/>
      <c r="AF31" s="1235"/>
      <c r="AG31" s="1235"/>
      <c r="AH31" s="1235"/>
      <c r="AI31" s="1235"/>
      <c r="AJ31" s="1235"/>
      <c r="AK31" s="1235"/>
      <c r="AL31" s="1235"/>
      <c r="AM31" s="1235"/>
      <c r="AN31" s="1235"/>
      <c r="AO31" s="1235"/>
      <c r="AP31" s="1235"/>
      <c r="AQ31" s="1235"/>
      <c r="AR31" s="1235"/>
      <c r="AS31" s="1235"/>
      <c r="AT31" s="1235"/>
      <c r="AU31" s="1235"/>
      <c r="AV31" s="1235"/>
      <c r="AW31" s="1235"/>
      <c r="AX31" s="1235"/>
      <c r="AY31" s="1235"/>
      <c r="AZ31" s="1235"/>
      <c r="BA31" s="1235"/>
      <c r="BB31" s="1235"/>
      <c r="BC31" s="1235"/>
      <c r="BD31" s="1235"/>
      <c r="BE31" s="1235"/>
      <c r="BF31" s="1235"/>
      <c r="BG31" s="1235"/>
      <c r="BH31" s="1235"/>
      <c r="BI31" s="1235"/>
      <c r="BJ31" s="1235"/>
      <c r="BK31" s="1235"/>
      <c r="BL31" s="1235"/>
      <c r="BM31" s="1235"/>
      <c r="BN31" s="1235"/>
      <c r="BO31" s="1235"/>
      <c r="BP31" s="1235"/>
      <c r="BQ31" s="1235"/>
      <c r="BR31" s="1235"/>
      <c r="BS31" s="1236"/>
      <c r="BT31" s="1237" t="str">
        <f t="shared" si="11"/>
        <v/>
      </c>
      <c r="BU31" s="1238"/>
      <c r="BV31" s="1238"/>
      <c r="BW31" s="1238"/>
      <c r="BX31" s="1238"/>
      <c r="BY31" s="1239"/>
      <c r="BZ31" s="1305" t="str">
        <f>IFERROR(IF(AND(BZ32,BZ33,BZ34,BZ39,BZ40)="","",SUM(BZ32)+SUM(BZ33)+SUM(BZ34)+SUM(BZ39)+SUM(BZ40)),"")</f>
        <v/>
      </c>
      <c r="CA31" s="1238"/>
      <c r="CB31" s="1238"/>
      <c r="CC31" s="1238"/>
      <c r="CD31" s="1238"/>
      <c r="CE31" s="1239"/>
      <c r="CF31" s="1305" t="str">
        <f>IFERROR(IF(AND(CF32,CF33,CF34,CF39,CF40)="","",SUM(CF32)+SUM(CF33)+SUM(CF34)+SUM(CF39)+SUM(CF40)),"")</f>
        <v/>
      </c>
      <c r="CG31" s="1238"/>
      <c r="CH31" s="1238"/>
      <c r="CI31" s="1238"/>
      <c r="CJ31" s="1238"/>
      <c r="CK31" s="1239"/>
      <c r="CL31" s="1305" t="str">
        <f>IFERROR(IF(AND(CL32,CL33,CL34,CL39,CL40)="","",SUM(CL32)+SUM(CL33)+SUM(CL34)+SUM(CL39)+SUM(CL40)),"")</f>
        <v/>
      </c>
      <c r="CM31" s="1238"/>
      <c r="CN31" s="1238"/>
      <c r="CO31" s="1238"/>
      <c r="CP31" s="1238"/>
      <c r="CQ31" s="1306"/>
    </row>
    <row r="32" spans="1:95" s="633" customFormat="1" ht="14.25">
      <c r="A32" s="740">
        <v>0.28000000000000008</v>
      </c>
      <c r="B32" s="740">
        <v>0.68000000000000038</v>
      </c>
      <c r="C32" s="740">
        <v>1.0900000000000001</v>
      </c>
      <c r="D32" s="740">
        <v>1.4900000000000004</v>
      </c>
      <c r="E32" s="740" t="str">
        <f t="shared" si="0"/>
        <v/>
      </c>
      <c r="F32" s="740" t="str">
        <f t="shared" si="1"/>
        <v/>
      </c>
      <c r="G32" s="740" t="str">
        <f t="shared" si="9"/>
        <v/>
      </c>
      <c r="H32" s="740" t="str">
        <f t="shared" si="10"/>
        <v/>
      </c>
      <c r="I32" s="740"/>
      <c r="J32" s="649" t="s">
        <v>2535</v>
      </c>
      <c r="K32" s="650"/>
      <c r="L32" s="1292" t="s">
        <v>2536</v>
      </c>
      <c r="M32" s="1292"/>
      <c r="N32" s="1292"/>
      <c r="O32" s="1292"/>
      <c r="P32" s="1292"/>
      <c r="Q32" s="1292"/>
      <c r="R32" s="1292"/>
      <c r="S32" s="1292"/>
      <c r="T32" s="1292"/>
      <c r="U32" s="1292"/>
      <c r="V32" s="1292"/>
      <c r="W32" s="1292"/>
      <c r="X32" s="1292"/>
      <c r="Y32" s="1292"/>
      <c r="Z32" s="1292"/>
      <c r="AA32" s="1292"/>
      <c r="AB32" s="1292"/>
      <c r="AC32" s="1292"/>
      <c r="AD32" s="1292"/>
      <c r="AE32" s="1292"/>
      <c r="AF32" s="1292"/>
      <c r="AG32" s="1292"/>
      <c r="AH32" s="1292"/>
      <c r="AI32" s="1292"/>
      <c r="AJ32" s="1292"/>
      <c r="AK32" s="1292"/>
      <c r="AL32" s="1292"/>
      <c r="AM32" s="1292"/>
      <c r="AN32" s="1292"/>
      <c r="AO32" s="1292"/>
      <c r="AP32" s="1292"/>
      <c r="AQ32" s="1292"/>
      <c r="AR32" s="1292"/>
      <c r="AS32" s="1292"/>
      <c r="AT32" s="1292"/>
      <c r="AU32" s="1292"/>
      <c r="AV32" s="1292"/>
      <c r="AW32" s="1292"/>
      <c r="AX32" s="1292"/>
      <c r="AY32" s="1292"/>
      <c r="AZ32" s="1292"/>
      <c r="BA32" s="1292"/>
      <c r="BB32" s="1292"/>
      <c r="BC32" s="1292"/>
      <c r="BD32" s="1292"/>
      <c r="BE32" s="1292"/>
      <c r="BF32" s="1292"/>
      <c r="BG32" s="1292"/>
      <c r="BH32" s="1292"/>
      <c r="BI32" s="1292"/>
      <c r="BJ32" s="1292"/>
      <c r="BK32" s="1292"/>
      <c r="BL32" s="1292"/>
      <c r="BM32" s="1292"/>
      <c r="BN32" s="1292"/>
      <c r="BO32" s="1292"/>
      <c r="BP32" s="1292"/>
      <c r="BQ32" s="1292"/>
      <c r="BR32" s="1292"/>
      <c r="BS32" s="1293"/>
      <c r="BT32" s="1294" t="str">
        <f t="shared" si="11"/>
        <v/>
      </c>
      <c r="BU32" s="1295"/>
      <c r="BV32" s="1295"/>
      <c r="BW32" s="1295"/>
      <c r="BX32" s="1295"/>
      <c r="BY32" s="1296"/>
      <c r="BZ32" s="1297"/>
      <c r="CA32" s="1298"/>
      <c r="CB32" s="1298"/>
      <c r="CC32" s="1298"/>
      <c r="CD32" s="1298"/>
      <c r="CE32" s="1299"/>
      <c r="CF32" s="1297"/>
      <c r="CG32" s="1298"/>
      <c r="CH32" s="1298"/>
      <c r="CI32" s="1298"/>
      <c r="CJ32" s="1298"/>
      <c r="CK32" s="1299"/>
      <c r="CL32" s="1297"/>
      <c r="CM32" s="1298"/>
      <c r="CN32" s="1298"/>
      <c r="CO32" s="1298"/>
      <c r="CP32" s="1298"/>
      <c r="CQ32" s="1300"/>
    </row>
    <row r="33" spans="1:95" s="633" customFormat="1" ht="14.25">
      <c r="A33" s="740">
        <v>0.29000000000000009</v>
      </c>
      <c r="B33" s="740">
        <v>0.69000000000000039</v>
      </c>
      <c r="C33" s="740">
        <v>1.1000000000000001</v>
      </c>
      <c r="D33" s="740">
        <v>1.5000000000000004</v>
      </c>
      <c r="E33" s="740" t="str">
        <f t="shared" si="0"/>
        <v/>
      </c>
      <c r="F33" s="740" t="str">
        <f t="shared" si="1"/>
        <v/>
      </c>
      <c r="G33" s="740" t="str">
        <f t="shared" si="9"/>
        <v/>
      </c>
      <c r="H33" s="740" t="str">
        <f t="shared" si="10"/>
        <v/>
      </c>
      <c r="I33" s="740"/>
      <c r="J33" s="649" t="s">
        <v>2537</v>
      </c>
      <c r="K33" s="650"/>
      <c r="L33" s="1292" t="s">
        <v>2538</v>
      </c>
      <c r="M33" s="1292"/>
      <c r="N33" s="1292"/>
      <c r="O33" s="1292"/>
      <c r="P33" s="1292"/>
      <c r="Q33" s="1292"/>
      <c r="R33" s="1292"/>
      <c r="S33" s="1292"/>
      <c r="T33" s="1292"/>
      <c r="U33" s="1292"/>
      <c r="V33" s="1292"/>
      <c r="W33" s="1292"/>
      <c r="X33" s="1292"/>
      <c r="Y33" s="1292"/>
      <c r="Z33" s="1292"/>
      <c r="AA33" s="1292"/>
      <c r="AB33" s="1292"/>
      <c r="AC33" s="1292"/>
      <c r="AD33" s="1292"/>
      <c r="AE33" s="1292"/>
      <c r="AF33" s="1292"/>
      <c r="AG33" s="1292"/>
      <c r="AH33" s="1292"/>
      <c r="AI33" s="1292"/>
      <c r="AJ33" s="1292"/>
      <c r="AK33" s="1292"/>
      <c r="AL33" s="1292"/>
      <c r="AM33" s="1292"/>
      <c r="AN33" s="1292"/>
      <c r="AO33" s="1292"/>
      <c r="AP33" s="1292"/>
      <c r="AQ33" s="1292"/>
      <c r="AR33" s="1292"/>
      <c r="AS33" s="1292"/>
      <c r="AT33" s="1292"/>
      <c r="AU33" s="1292"/>
      <c r="AV33" s="1292"/>
      <c r="AW33" s="1292"/>
      <c r="AX33" s="1292"/>
      <c r="AY33" s="1292"/>
      <c r="AZ33" s="1292"/>
      <c r="BA33" s="1292"/>
      <c r="BB33" s="1292"/>
      <c r="BC33" s="1292"/>
      <c r="BD33" s="1292"/>
      <c r="BE33" s="1292"/>
      <c r="BF33" s="1292"/>
      <c r="BG33" s="1292"/>
      <c r="BH33" s="1292"/>
      <c r="BI33" s="1292"/>
      <c r="BJ33" s="1292"/>
      <c r="BK33" s="1292"/>
      <c r="BL33" s="1292"/>
      <c r="BM33" s="1292"/>
      <c r="BN33" s="1292"/>
      <c r="BO33" s="1292"/>
      <c r="BP33" s="1292"/>
      <c r="BQ33" s="1292"/>
      <c r="BR33" s="1292"/>
      <c r="BS33" s="1293"/>
      <c r="BT33" s="1294" t="str">
        <f t="shared" si="11"/>
        <v/>
      </c>
      <c r="BU33" s="1295"/>
      <c r="BV33" s="1295"/>
      <c r="BW33" s="1295"/>
      <c r="BX33" s="1295"/>
      <c r="BY33" s="1296"/>
      <c r="BZ33" s="1297"/>
      <c r="CA33" s="1298"/>
      <c r="CB33" s="1298"/>
      <c r="CC33" s="1298"/>
      <c r="CD33" s="1298"/>
      <c r="CE33" s="1299"/>
      <c r="CF33" s="1297"/>
      <c r="CG33" s="1298"/>
      <c r="CH33" s="1298"/>
      <c r="CI33" s="1298"/>
      <c r="CJ33" s="1298"/>
      <c r="CK33" s="1299"/>
      <c r="CL33" s="1297"/>
      <c r="CM33" s="1298"/>
      <c r="CN33" s="1298"/>
      <c r="CO33" s="1298"/>
      <c r="CP33" s="1298"/>
      <c r="CQ33" s="1300"/>
    </row>
    <row r="34" spans="1:95" s="633" customFormat="1" ht="14.25">
      <c r="A34" s="740">
        <v>0.3000000000000001</v>
      </c>
      <c r="B34" s="740">
        <v>0.7000000000000004</v>
      </c>
      <c r="C34" s="740">
        <v>1.1100000000000001</v>
      </c>
      <c r="D34" s="740">
        <v>1.5100000000000005</v>
      </c>
      <c r="E34" s="740" t="str">
        <f t="shared" si="0"/>
        <v/>
      </c>
      <c r="F34" s="740" t="str">
        <f t="shared" si="1"/>
        <v/>
      </c>
      <c r="G34" s="740" t="str">
        <f t="shared" si="9"/>
        <v/>
      </c>
      <c r="H34" s="740" t="str">
        <f t="shared" si="10"/>
        <v/>
      </c>
      <c r="I34" s="740"/>
      <c r="J34" s="649" t="s">
        <v>2539</v>
      </c>
      <c r="K34" s="650"/>
      <c r="L34" s="1292" t="s">
        <v>2540</v>
      </c>
      <c r="M34" s="1292"/>
      <c r="N34" s="1292"/>
      <c r="O34" s="1292"/>
      <c r="P34" s="1292"/>
      <c r="Q34" s="1292"/>
      <c r="R34" s="1292"/>
      <c r="S34" s="1292"/>
      <c r="T34" s="1292"/>
      <c r="U34" s="1292"/>
      <c r="V34" s="1292"/>
      <c r="W34" s="1292"/>
      <c r="X34" s="1292"/>
      <c r="Y34" s="1292"/>
      <c r="Z34" s="1292"/>
      <c r="AA34" s="1292"/>
      <c r="AB34" s="1292"/>
      <c r="AC34" s="1292"/>
      <c r="AD34" s="1292"/>
      <c r="AE34" s="1292"/>
      <c r="AF34" s="1292"/>
      <c r="AG34" s="1292"/>
      <c r="AH34" s="1292"/>
      <c r="AI34" s="1292"/>
      <c r="AJ34" s="1292"/>
      <c r="AK34" s="1292"/>
      <c r="AL34" s="1292"/>
      <c r="AM34" s="1292"/>
      <c r="AN34" s="1292"/>
      <c r="AO34" s="1292"/>
      <c r="AP34" s="1292"/>
      <c r="AQ34" s="1292"/>
      <c r="AR34" s="1292"/>
      <c r="AS34" s="1292"/>
      <c r="AT34" s="1292"/>
      <c r="AU34" s="1292"/>
      <c r="AV34" s="1292"/>
      <c r="AW34" s="1292"/>
      <c r="AX34" s="1292"/>
      <c r="AY34" s="1292"/>
      <c r="AZ34" s="1292"/>
      <c r="BA34" s="1292"/>
      <c r="BB34" s="1292"/>
      <c r="BC34" s="1292"/>
      <c r="BD34" s="1292"/>
      <c r="BE34" s="1292"/>
      <c r="BF34" s="1292"/>
      <c r="BG34" s="1292"/>
      <c r="BH34" s="1292"/>
      <c r="BI34" s="1292"/>
      <c r="BJ34" s="1292"/>
      <c r="BK34" s="1292"/>
      <c r="BL34" s="1292"/>
      <c r="BM34" s="1292"/>
      <c r="BN34" s="1292"/>
      <c r="BO34" s="1292"/>
      <c r="BP34" s="1292"/>
      <c r="BQ34" s="1292"/>
      <c r="BR34" s="1292"/>
      <c r="BS34" s="1293"/>
      <c r="BT34" s="1294" t="str">
        <f t="shared" si="11"/>
        <v/>
      </c>
      <c r="BU34" s="1295"/>
      <c r="BV34" s="1295"/>
      <c r="BW34" s="1295"/>
      <c r="BX34" s="1295"/>
      <c r="BY34" s="1296"/>
      <c r="BZ34" s="1307" t="str">
        <f t="array" ref="BZ34">IF(AND(ISBLANK(BZ35:BZ38)),"",SUM(BZ35:BZ38))</f>
        <v/>
      </c>
      <c r="CA34" s="1295"/>
      <c r="CB34" s="1295"/>
      <c r="CC34" s="1295"/>
      <c r="CD34" s="1295"/>
      <c r="CE34" s="1296"/>
      <c r="CF34" s="1307" t="str">
        <f t="array" ref="CF34">IF(AND(ISBLANK(CF35:CF38)),"",SUM(CF35:CF38))</f>
        <v/>
      </c>
      <c r="CG34" s="1295"/>
      <c r="CH34" s="1295"/>
      <c r="CI34" s="1295"/>
      <c r="CJ34" s="1295"/>
      <c r="CK34" s="1296"/>
      <c r="CL34" s="1307" t="str">
        <f t="array" ref="CL34">IF(AND(ISBLANK(CL35:CL38)),"",SUM(CL35:CL38))</f>
        <v/>
      </c>
      <c r="CM34" s="1295"/>
      <c r="CN34" s="1295"/>
      <c r="CO34" s="1295"/>
      <c r="CP34" s="1295"/>
      <c r="CQ34" s="1308"/>
    </row>
    <row r="35" spans="1:95" s="633" customFormat="1" ht="14.25">
      <c r="A35" s="740">
        <v>0.31000000000000011</v>
      </c>
      <c r="B35" s="740">
        <v>0.71000000000000041</v>
      </c>
      <c r="C35" s="740">
        <v>1.1200000000000001</v>
      </c>
      <c r="D35" s="740">
        <v>1.5200000000000005</v>
      </c>
      <c r="E35" s="740" t="str">
        <f t="shared" si="0"/>
        <v/>
      </c>
      <c r="F35" s="740" t="str">
        <f t="shared" si="1"/>
        <v/>
      </c>
      <c r="G35" s="740" t="str">
        <f t="shared" si="9"/>
        <v/>
      </c>
      <c r="H35" s="740" t="str">
        <f t="shared" si="10"/>
        <v/>
      </c>
      <c r="I35" s="740"/>
      <c r="J35" s="649" t="s">
        <v>2541</v>
      </c>
      <c r="K35" s="650"/>
      <c r="L35" s="655"/>
      <c r="M35" s="656" t="s">
        <v>2542</v>
      </c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652"/>
      <c r="AX35" s="652"/>
      <c r="AY35" s="652"/>
      <c r="AZ35" s="652"/>
      <c r="BA35" s="652"/>
      <c r="BB35" s="652"/>
      <c r="BC35" s="652"/>
      <c r="BD35" s="652"/>
      <c r="BE35" s="652"/>
      <c r="BF35" s="652"/>
      <c r="BG35" s="652"/>
      <c r="BH35" s="652"/>
      <c r="BI35" s="652"/>
      <c r="BJ35" s="652"/>
      <c r="BK35" s="652"/>
      <c r="BL35" s="652"/>
      <c r="BM35" s="652"/>
      <c r="BN35" s="652"/>
      <c r="BO35" s="652"/>
      <c r="BP35" s="652"/>
      <c r="BQ35" s="652"/>
      <c r="BR35" s="652"/>
      <c r="BS35" s="653"/>
      <c r="BT35" s="1294" t="str">
        <f t="shared" si="11"/>
        <v/>
      </c>
      <c r="BU35" s="1295"/>
      <c r="BV35" s="1295"/>
      <c r="BW35" s="1295"/>
      <c r="BX35" s="1295"/>
      <c r="BY35" s="1296"/>
      <c r="BZ35" s="1297"/>
      <c r="CA35" s="1298"/>
      <c r="CB35" s="1298"/>
      <c r="CC35" s="1298"/>
      <c r="CD35" s="1298"/>
      <c r="CE35" s="1299"/>
      <c r="CF35" s="1297"/>
      <c r="CG35" s="1298"/>
      <c r="CH35" s="1298"/>
      <c r="CI35" s="1298"/>
      <c r="CJ35" s="1298"/>
      <c r="CK35" s="1299"/>
      <c r="CL35" s="1297"/>
      <c r="CM35" s="1298"/>
      <c r="CN35" s="1298"/>
      <c r="CO35" s="1298"/>
      <c r="CP35" s="1298"/>
      <c r="CQ35" s="1300"/>
    </row>
    <row r="36" spans="1:95" s="633" customFormat="1" ht="14.25">
      <c r="A36" s="740">
        <v>0.32000000000000012</v>
      </c>
      <c r="B36" s="740">
        <v>0.72000000000000042</v>
      </c>
      <c r="C36" s="740">
        <v>1.1300000000000001</v>
      </c>
      <c r="D36" s="740">
        <v>1.5300000000000005</v>
      </c>
      <c r="E36" s="740" t="str">
        <f t="shared" si="0"/>
        <v/>
      </c>
      <c r="F36" s="740" t="str">
        <f t="shared" si="1"/>
        <v/>
      </c>
      <c r="G36" s="740" t="str">
        <f t="shared" si="9"/>
        <v/>
      </c>
      <c r="H36" s="740" t="str">
        <f t="shared" si="10"/>
        <v/>
      </c>
      <c r="I36" s="740"/>
      <c r="J36" s="649" t="s">
        <v>2543</v>
      </c>
      <c r="K36" s="650"/>
      <c r="L36" s="655"/>
      <c r="M36" s="656" t="s">
        <v>2544</v>
      </c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2"/>
      <c r="AP36" s="652"/>
      <c r="AQ36" s="652"/>
      <c r="AR36" s="652"/>
      <c r="AS36" s="652"/>
      <c r="AT36" s="652"/>
      <c r="AU36" s="652"/>
      <c r="AV36" s="652"/>
      <c r="AW36" s="652"/>
      <c r="AX36" s="652"/>
      <c r="AY36" s="652"/>
      <c r="AZ36" s="652"/>
      <c r="BA36" s="652"/>
      <c r="BB36" s="652"/>
      <c r="BC36" s="652"/>
      <c r="BD36" s="652"/>
      <c r="BE36" s="652"/>
      <c r="BF36" s="652"/>
      <c r="BG36" s="652"/>
      <c r="BH36" s="652"/>
      <c r="BI36" s="652"/>
      <c r="BJ36" s="652"/>
      <c r="BK36" s="652"/>
      <c r="BL36" s="652"/>
      <c r="BM36" s="652"/>
      <c r="BN36" s="652"/>
      <c r="BO36" s="652"/>
      <c r="BP36" s="652"/>
      <c r="BQ36" s="652"/>
      <c r="BR36" s="652"/>
      <c r="BS36" s="653"/>
      <c r="BT36" s="1294" t="str">
        <f t="shared" si="11"/>
        <v/>
      </c>
      <c r="BU36" s="1295"/>
      <c r="BV36" s="1295"/>
      <c r="BW36" s="1295"/>
      <c r="BX36" s="1295"/>
      <c r="BY36" s="1296"/>
      <c r="BZ36" s="1297"/>
      <c r="CA36" s="1298"/>
      <c r="CB36" s="1298"/>
      <c r="CC36" s="1298"/>
      <c r="CD36" s="1298"/>
      <c r="CE36" s="1299"/>
      <c r="CF36" s="1297"/>
      <c r="CG36" s="1298"/>
      <c r="CH36" s="1298"/>
      <c r="CI36" s="1298"/>
      <c r="CJ36" s="1298"/>
      <c r="CK36" s="1299"/>
      <c r="CL36" s="1297"/>
      <c r="CM36" s="1298"/>
      <c r="CN36" s="1298"/>
      <c r="CO36" s="1298"/>
      <c r="CP36" s="1298"/>
      <c r="CQ36" s="1300"/>
    </row>
    <row r="37" spans="1:95" s="633" customFormat="1" ht="14.25">
      <c r="A37" s="740">
        <v>0.33000000000000013</v>
      </c>
      <c r="B37" s="740">
        <v>0.73000000000000043</v>
      </c>
      <c r="C37" s="740">
        <v>1.1400000000000001</v>
      </c>
      <c r="D37" s="740">
        <v>1.5400000000000005</v>
      </c>
      <c r="E37" s="740" t="str">
        <f t="shared" si="0"/>
        <v/>
      </c>
      <c r="F37" s="740" t="str">
        <f t="shared" si="1"/>
        <v/>
      </c>
      <c r="G37" s="740" t="str">
        <f t="shared" si="9"/>
        <v/>
      </c>
      <c r="H37" s="740" t="str">
        <f t="shared" si="10"/>
        <v/>
      </c>
      <c r="I37" s="740"/>
      <c r="J37" s="649" t="s">
        <v>2545</v>
      </c>
      <c r="K37" s="650"/>
      <c r="L37" s="655"/>
      <c r="M37" s="656" t="s">
        <v>2546</v>
      </c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2"/>
      <c r="AP37" s="652"/>
      <c r="AQ37" s="652"/>
      <c r="AR37" s="652"/>
      <c r="AS37" s="652"/>
      <c r="AT37" s="652"/>
      <c r="AU37" s="652"/>
      <c r="AV37" s="652"/>
      <c r="AW37" s="652"/>
      <c r="AX37" s="652"/>
      <c r="AY37" s="652"/>
      <c r="AZ37" s="652"/>
      <c r="BA37" s="652"/>
      <c r="BB37" s="652"/>
      <c r="BC37" s="652"/>
      <c r="BD37" s="652"/>
      <c r="BE37" s="652"/>
      <c r="BF37" s="652"/>
      <c r="BG37" s="652"/>
      <c r="BH37" s="652"/>
      <c r="BI37" s="652"/>
      <c r="BJ37" s="652"/>
      <c r="BK37" s="652"/>
      <c r="BL37" s="652"/>
      <c r="BM37" s="652"/>
      <c r="BN37" s="652"/>
      <c r="BO37" s="652"/>
      <c r="BP37" s="652"/>
      <c r="BQ37" s="652"/>
      <c r="BR37" s="652"/>
      <c r="BS37" s="653"/>
      <c r="BT37" s="1294" t="str">
        <f t="shared" si="11"/>
        <v/>
      </c>
      <c r="BU37" s="1295"/>
      <c r="BV37" s="1295"/>
      <c r="BW37" s="1295"/>
      <c r="BX37" s="1295"/>
      <c r="BY37" s="1296"/>
      <c r="BZ37" s="1297"/>
      <c r="CA37" s="1298"/>
      <c r="CB37" s="1298"/>
      <c r="CC37" s="1298"/>
      <c r="CD37" s="1298"/>
      <c r="CE37" s="1299"/>
      <c r="CF37" s="1297"/>
      <c r="CG37" s="1298"/>
      <c r="CH37" s="1298"/>
      <c r="CI37" s="1298"/>
      <c r="CJ37" s="1298"/>
      <c r="CK37" s="1299"/>
      <c r="CL37" s="1297"/>
      <c r="CM37" s="1298"/>
      <c r="CN37" s="1298"/>
      <c r="CO37" s="1298"/>
      <c r="CP37" s="1298"/>
      <c r="CQ37" s="1300"/>
    </row>
    <row r="38" spans="1:95" s="633" customFormat="1" ht="14.25">
      <c r="A38" s="740">
        <v>0.34000000000000014</v>
      </c>
      <c r="B38" s="740">
        <v>0.74000000000000044</v>
      </c>
      <c r="C38" s="740">
        <v>1.1500000000000001</v>
      </c>
      <c r="D38" s="740">
        <v>1.5500000000000005</v>
      </c>
      <c r="E38" s="740" t="str">
        <f t="shared" si="0"/>
        <v/>
      </c>
      <c r="F38" s="740" t="str">
        <f t="shared" si="1"/>
        <v/>
      </c>
      <c r="G38" s="740" t="str">
        <f t="shared" si="9"/>
        <v/>
      </c>
      <c r="H38" s="740" t="str">
        <f t="shared" si="10"/>
        <v/>
      </c>
      <c r="I38" s="740"/>
      <c r="J38" s="649" t="s">
        <v>2547</v>
      </c>
      <c r="K38" s="650"/>
      <c r="L38" s="655"/>
      <c r="M38" s="656" t="s">
        <v>2548</v>
      </c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2"/>
      <c r="AP38" s="652"/>
      <c r="AQ38" s="652"/>
      <c r="AR38" s="652"/>
      <c r="AS38" s="652"/>
      <c r="AT38" s="652"/>
      <c r="AU38" s="652"/>
      <c r="AV38" s="652"/>
      <c r="AW38" s="652"/>
      <c r="AX38" s="652"/>
      <c r="AY38" s="652"/>
      <c r="AZ38" s="652"/>
      <c r="BA38" s="652"/>
      <c r="BB38" s="652"/>
      <c r="BC38" s="652"/>
      <c r="BD38" s="652"/>
      <c r="BE38" s="652"/>
      <c r="BF38" s="652"/>
      <c r="BG38" s="652"/>
      <c r="BH38" s="652"/>
      <c r="BI38" s="652"/>
      <c r="BJ38" s="652"/>
      <c r="BK38" s="652"/>
      <c r="BL38" s="652"/>
      <c r="BM38" s="652"/>
      <c r="BN38" s="652"/>
      <c r="BO38" s="652"/>
      <c r="BP38" s="652"/>
      <c r="BQ38" s="652"/>
      <c r="BR38" s="652"/>
      <c r="BS38" s="653"/>
      <c r="BT38" s="1294" t="str">
        <f>IFERROR(IF(AND(BZ38,CF38)="","",SUM(BZ38)+SUM(CF38)),"")</f>
        <v/>
      </c>
      <c r="BU38" s="1295"/>
      <c r="BV38" s="1295"/>
      <c r="BW38" s="1295"/>
      <c r="BX38" s="1295"/>
      <c r="BY38" s="1296"/>
      <c r="BZ38" s="1297"/>
      <c r="CA38" s="1298"/>
      <c r="CB38" s="1298"/>
      <c r="CC38" s="1298"/>
      <c r="CD38" s="1298"/>
      <c r="CE38" s="1299"/>
      <c r="CF38" s="1297"/>
      <c r="CG38" s="1298"/>
      <c r="CH38" s="1298"/>
      <c r="CI38" s="1298"/>
      <c r="CJ38" s="1298"/>
      <c r="CK38" s="1299"/>
      <c r="CL38" s="1297"/>
      <c r="CM38" s="1298"/>
      <c r="CN38" s="1298"/>
      <c r="CO38" s="1298"/>
      <c r="CP38" s="1298"/>
      <c r="CQ38" s="1300"/>
    </row>
    <row r="39" spans="1:95" s="633" customFormat="1" ht="14.25">
      <c r="A39" s="740">
        <v>0.35000000000000014</v>
      </c>
      <c r="B39" s="740">
        <v>0.75000000000000044</v>
      </c>
      <c r="C39" s="740">
        <v>1.1600000000000001</v>
      </c>
      <c r="D39" s="740">
        <v>1.5600000000000005</v>
      </c>
      <c r="E39" s="740" t="str">
        <f t="shared" si="0"/>
        <v/>
      </c>
      <c r="F39" s="740" t="str">
        <f t="shared" si="1"/>
        <v/>
      </c>
      <c r="G39" s="740" t="str">
        <f t="shared" si="9"/>
        <v/>
      </c>
      <c r="H39" s="740" t="str">
        <f t="shared" si="10"/>
        <v/>
      </c>
      <c r="I39" s="740"/>
      <c r="J39" s="649" t="s">
        <v>2549</v>
      </c>
      <c r="K39" s="650"/>
      <c r="L39" s="1292" t="s">
        <v>2550</v>
      </c>
      <c r="M39" s="1292"/>
      <c r="N39" s="1292"/>
      <c r="O39" s="1292"/>
      <c r="P39" s="1292"/>
      <c r="Q39" s="1292"/>
      <c r="R39" s="1292"/>
      <c r="S39" s="1292"/>
      <c r="T39" s="1292"/>
      <c r="U39" s="1292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2"/>
      <c r="AL39" s="1292"/>
      <c r="AM39" s="1292"/>
      <c r="AN39" s="1292"/>
      <c r="AO39" s="1292"/>
      <c r="AP39" s="1292"/>
      <c r="AQ39" s="1292"/>
      <c r="AR39" s="1292"/>
      <c r="AS39" s="1292"/>
      <c r="AT39" s="1292"/>
      <c r="AU39" s="1292"/>
      <c r="AV39" s="1292"/>
      <c r="AW39" s="1292"/>
      <c r="AX39" s="1292"/>
      <c r="AY39" s="1292"/>
      <c r="AZ39" s="1292"/>
      <c r="BA39" s="1292"/>
      <c r="BB39" s="1292"/>
      <c r="BC39" s="1292"/>
      <c r="BD39" s="1292"/>
      <c r="BE39" s="1292"/>
      <c r="BF39" s="1292"/>
      <c r="BG39" s="1292"/>
      <c r="BH39" s="1292"/>
      <c r="BI39" s="1292"/>
      <c r="BJ39" s="1292"/>
      <c r="BK39" s="1292"/>
      <c r="BL39" s="1292"/>
      <c r="BM39" s="1292"/>
      <c r="BN39" s="1292"/>
      <c r="BO39" s="1292"/>
      <c r="BP39" s="1292"/>
      <c r="BQ39" s="1292"/>
      <c r="BR39" s="1292"/>
      <c r="BS39" s="1293"/>
      <c r="BT39" s="1294" t="str">
        <f t="shared" si="11"/>
        <v/>
      </c>
      <c r="BU39" s="1295"/>
      <c r="BV39" s="1295"/>
      <c r="BW39" s="1295"/>
      <c r="BX39" s="1295"/>
      <c r="BY39" s="1296"/>
      <c r="BZ39" s="1297"/>
      <c r="CA39" s="1298"/>
      <c r="CB39" s="1298"/>
      <c r="CC39" s="1298"/>
      <c r="CD39" s="1298"/>
      <c r="CE39" s="1299"/>
      <c r="CF39" s="1297"/>
      <c r="CG39" s="1298"/>
      <c r="CH39" s="1298"/>
      <c r="CI39" s="1298"/>
      <c r="CJ39" s="1298"/>
      <c r="CK39" s="1299"/>
      <c r="CL39" s="1297"/>
      <c r="CM39" s="1298"/>
      <c r="CN39" s="1298"/>
      <c r="CO39" s="1298"/>
      <c r="CP39" s="1298"/>
      <c r="CQ39" s="1300"/>
    </row>
    <row r="40" spans="1:95" s="633" customFormat="1" ht="14.25">
      <c r="A40" s="740">
        <v>0.36000000000000015</v>
      </c>
      <c r="B40" s="740">
        <v>0.76000000000000045</v>
      </c>
      <c r="C40" s="740">
        <v>1.1700000000000002</v>
      </c>
      <c r="D40" s="740">
        <v>1.5700000000000005</v>
      </c>
      <c r="E40" s="740" t="str">
        <f t="shared" si="0"/>
        <v/>
      </c>
      <c r="F40" s="740" t="str">
        <f t="shared" si="1"/>
        <v/>
      </c>
      <c r="G40" s="740" t="str">
        <f t="shared" si="9"/>
        <v/>
      </c>
      <c r="H40" s="740" t="str">
        <f t="shared" si="10"/>
        <v/>
      </c>
      <c r="I40" s="740"/>
      <c r="J40" s="649" t="s">
        <v>2551</v>
      </c>
      <c r="K40" s="650"/>
      <c r="L40" s="1292" t="s">
        <v>2552</v>
      </c>
      <c r="M40" s="1292"/>
      <c r="N40" s="1292"/>
      <c r="O40" s="1292"/>
      <c r="P40" s="1292"/>
      <c r="Q40" s="1292"/>
      <c r="R40" s="1292"/>
      <c r="S40" s="1292"/>
      <c r="T40" s="1292"/>
      <c r="U40" s="1292"/>
      <c r="V40" s="1292"/>
      <c r="W40" s="1292"/>
      <c r="X40" s="1292"/>
      <c r="Y40" s="1292"/>
      <c r="Z40" s="1292"/>
      <c r="AA40" s="1292"/>
      <c r="AB40" s="1292"/>
      <c r="AC40" s="1292"/>
      <c r="AD40" s="1292"/>
      <c r="AE40" s="1292"/>
      <c r="AF40" s="1292"/>
      <c r="AG40" s="1292"/>
      <c r="AH40" s="1292"/>
      <c r="AI40" s="1292"/>
      <c r="AJ40" s="1292"/>
      <c r="AK40" s="1292"/>
      <c r="AL40" s="1292"/>
      <c r="AM40" s="1292"/>
      <c r="AN40" s="1292"/>
      <c r="AO40" s="1292"/>
      <c r="AP40" s="1292"/>
      <c r="AQ40" s="1292"/>
      <c r="AR40" s="1292"/>
      <c r="AS40" s="1292"/>
      <c r="AT40" s="1292"/>
      <c r="AU40" s="1292"/>
      <c r="AV40" s="1292"/>
      <c r="AW40" s="1292"/>
      <c r="AX40" s="1292"/>
      <c r="AY40" s="1292"/>
      <c r="AZ40" s="1292"/>
      <c r="BA40" s="1292"/>
      <c r="BB40" s="1292"/>
      <c r="BC40" s="1292"/>
      <c r="BD40" s="1292"/>
      <c r="BE40" s="1292"/>
      <c r="BF40" s="1292"/>
      <c r="BG40" s="1292"/>
      <c r="BH40" s="1292"/>
      <c r="BI40" s="1292"/>
      <c r="BJ40" s="1292"/>
      <c r="BK40" s="1292"/>
      <c r="BL40" s="1292"/>
      <c r="BM40" s="1292"/>
      <c r="BN40" s="1292"/>
      <c r="BO40" s="1292"/>
      <c r="BP40" s="1292"/>
      <c r="BQ40" s="1292"/>
      <c r="BR40" s="1292"/>
      <c r="BS40" s="1293"/>
      <c r="BT40" s="1294" t="str">
        <f t="shared" si="11"/>
        <v/>
      </c>
      <c r="BU40" s="1295"/>
      <c r="BV40" s="1295"/>
      <c r="BW40" s="1295"/>
      <c r="BX40" s="1295"/>
      <c r="BY40" s="1296"/>
      <c r="BZ40" s="1297"/>
      <c r="CA40" s="1298"/>
      <c r="CB40" s="1298"/>
      <c r="CC40" s="1298"/>
      <c r="CD40" s="1298"/>
      <c r="CE40" s="1299"/>
      <c r="CF40" s="1297"/>
      <c r="CG40" s="1298"/>
      <c r="CH40" s="1298"/>
      <c r="CI40" s="1298"/>
      <c r="CJ40" s="1298"/>
      <c r="CK40" s="1299"/>
      <c r="CL40" s="1297"/>
      <c r="CM40" s="1298"/>
      <c r="CN40" s="1298"/>
      <c r="CO40" s="1298"/>
      <c r="CP40" s="1298"/>
      <c r="CQ40" s="1300"/>
    </row>
    <row r="41" spans="1:95" s="633" customFormat="1" ht="14.25">
      <c r="A41" s="740">
        <v>0.37000000000000016</v>
      </c>
      <c r="B41" s="740">
        <v>0.77000000000000046</v>
      </c>
      <c r="C41" s="740">
        <v>1.1800000000000002</v>
      </c>
      <c r="D41" s="740">
        <v>1.5800000000000005</v>
      </c>
      <c r="E41" s="740" t="str">
        <f t="shared" si="0"/>
        <v/>
      </c>
      <c r="F41" s="740" t="str">
        <f t="shared" si="1"/>
        <v/>
      </c>
      <c r="G41" s="740"/>
      <c r="H41" s="740"/>
      <c r="I41" s="740"/>
      <c r="J41" s="657" t="s">
        <v>2553</v>
      </c>
      <c r="K41" s="1259" t="s">
        <v>2554</v>
      </c>
      <c r="L41" s="1260"/>
      <c r="M41" s="1260"/>
      <c r="N41" s="1260"/>
      <c r="O41" s="1260"/>
      <c r="P41" s="1260"/>
      <c r="Q41" s="1260"/>
      <c r="R41" s="1260"/>
      <c r="S41" s="1260"/>
      <c r="T41" s="1260"/>
      <c r="U41" s="1260"/>
      <c r="V41" s="1260"/>
      <c r="W41" s="1260"/>
      <c r="X41" s="1260"/>
      <c r="Y41" s="1260"/>
      <c r="Z41" s="1260"/>
      <c r="AA41" s="1260"/>
      <c r="AB41" s="1260"/>
      <c r="AC41" s="1260"/>
      <c r="AD41" s="1260"/>
      <c r="AE41" s="1260"/>
      <c r="AF41" s="1260"/>
      <c r="AG41" s="1260"/>
      <c r="AH41" s="1260"/>
      <c r="AI41" s="1260"/>
      <c r="AJ41" s="1260"/>
      <c r="AK41" s="1260"/>
      <c r="AL41" s="1260"/>
      <c r="AM41" s="1260"/>
      <c r="AN41" s="1260"/>
      <c r="AO41" s="1260"/>
      <c r="AP41" s="1260"/>
      <c r="AQ41" s="1260"/>
      <c r="AR41" s="1260"/>
      <c r="AS41" s="1260"/>
      <c r="AT41" s="1260"/>
      <c r="AU41" s="1260"/>
      <c r="AV41" s="1260"/>
      <c r="AW41" s="1260"/>
      <c r="AX41" s="1260"/>
      <c r="AY41" s="1260"/>
      <c r="AZ41" s="1260"/>
      <c r="BA41" s="1260"/>
      <c r="BB41" s="1260"/>
      <c r="BC41" s="1260"/>
      <c r="BD41" s="1260"/>
      <c r="BE41" s="1260"/>
      <c r="BF41" s="1260"/>
      <c r="BG41" s="1260"/>
      <c r="BH41" s="1260"/>
      <c r="BI41" s="1260"/>
      <c r="BJ41" s="1260"/>
      <c r="BK41" s="1260"/>
      <c r="BL41" s="1260"/>
      <c r="BM41" s="1260"/>
      <c r="BN41" s="1260"/>
      <c r="BO41" s="1260"/>
      <c r="BP41" s="1260"/>
      <c r="BQ41" s="1260"/>
      <c r="BR41" s="1260"/>
      <c r="BS41" s="1261"/>
      <c r="BT41" s="1262" t="str">
        <f>IFERROR(IF(AND(BZ41)="","",SUM(BZ41)),"")</f>
        <v/>
      </c>
      <c r="BU41" s="1263"/>
      <c r="BV41" s="1263"/>
      <c r="BW41" s="1263"/>
      <c r="BX41" s="1263"/>
      <c r="BY41" s="1264"/>
      <c r="BZ41" s="1230"/>
      <c r="CA41" s="1231"/>
      <c r="CB41" s="1231"/>
      <c r="CC41" s="1231"/>
      <c r="CD41" s="1231"/>
      <c r="CE41" s="1232"/>
      <c r="CF41" s="1301" t="s">
        <v>2494</v>
      </c>
      <c r="CG41" s="1302"/>
      <c r="CH41" s="1302"/>
      <c r="CI41" s="1302"/>
      <c r="CJ41" s="1302"/>
      <c r="CK41" s="1303"/>
      <c r="CL41" s="1301" t="s">
        <v>2494</v>
      </c>
      <c r="CM41" s="1302"/>
      <c r="CN41" s="1302"/>
      <c r="CO41" s="1302"/>
      <c r="CP41" s="1302"/>
      <c r="CQ41" s="1304"/>
    </row>
    <row r="42" spans="1:95" s="633" customFormat="1" ht="6" customHeight="1">
      <c r="A42" s="740"/>
      <c r="B42" s="740"/>
      <c r="C42" s="740"/>
      <c r="D42" s="740"/>
      <c r="E42" s="740" t="str">
        <f t="shared" si="0"/>
        <v/>
      </c>
      <c r="F42" s="740" t="str">
        <f t="shared" si="1"/>
        <v/>
      </c>
      <c r="G42" s="740" t="str">
        <f>IF(LEN(CF42)=0,"",1+ABS((CF42*C42)/LEN(CF42))+C42)</f>
        <v/>
      </c>
      <c r="H42" s="740" t="str">
        <f>IF(LEN(CL42)=0,"",1+ABS((CL42*D42)/LEN(CL42))+D42)</f>
        <v/>
      </c>
      <c r="I42" s="740"/>
      <c r="J42" s="658"/>
      <c r="K42" s="659"/>
      <c r="L42" s="659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60"/>
      <c r="BU42" s="660"/>
      <c r="BV42" s="660"/>
      <c r="BW42" s="660"/>
      <c r="BX42" s="660"/>
      <c r="BY42" s="660"/>
      <c r="BZ42" s="660"/>
      <c r="CA42" s="660"/>
      <c r="CB42" s="660"/>
      <c r="CC42" s="660"/>
      <c r="CD42" s="660"/>
      <c r="CE42" s="660"/>
      <c r="CF42" s="660"/>
      <c r="CG42" s="660"/>
      <c r="CH42" s="660"/>
      <c r="CI42" s="660"/>
      <c r="CJ42" s="660"/>
      <c r="CK42" s="660"/>
      <c r="CL42" s="660"/>
      <c r="CM42" s="660"/>
      <c r="CN42" s="660"/>
      <c r="CO42" s="660"/>
      <c r="CP42" s="660"/>
      <c r="CQ42" s="660"/>
    </row>
    <row r="43" spans="1:95" s="633" customFormat="1" ht="14.25">
      <c r="A43" s="740">
        <v>0.38000000000000017</v>
      </c>
      <c r="B43" s="740">
        <v>0.78000000000000047</v>
      </c>
      <c r="C43" s="740">
        <v>1.1900000000000002</v>
      </c>
      <c r="D43" s="740">
        <v>1.5900000000000005</v>
      </c>
      <c r="E43" s="740" t="str">
        <f t="shared" si="0"/>
        <v/>
      </c>
      <c r="F43" s="740" t="str">
        <f t="shared" si="1"/>
        <v/>
      </c>
      <c r="G43" s="740" t="str">
        <f>IF(LEN(CF43)=0,"",1+ABS((CF43*C43)/LEN(CF43))+C43)</f>
        <v/>
      </c>
      <c r="H43" s="740" t="str">
        <f>IF(LEN(CL43)=0,"",1+ABS((CL43*D43)/LEN(CL43))+D43)</f>
        <v/>
      </c>
      <c r="I43" s="740"/>
      <c r="J43" s="642" t="s">
        <v>2555</v>
      </c>
      <c r="K43" s="1282" t="s">
        <v>2556</v>
      </c>
      <c r="L43" s="1283"/>
      <c r="M43" s="1283"/>
      <c r="N43" s="1283"/>
      <c r="O43" s="1283"/>
      <c r="P43" s="1283"/>
      <c r="Q43" s="1283"/>
      <c r="R43" s="1283"/>
      <c r="S43" s="1283"/>
      <c r="T43" s="1283"/>
      <c r="U43" s="1283"/>
      <c r="V43" s="1283"/>
      <c r="W43" s="1283"/>
      <c r="X43" s="1283"/>
      <c r="Y43" s="1283"/>
      <c r="Z43" s="1283"/>
      <c r="AA43" s="1283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3"/>
      <c r="AL43" s="1283"/>
      <c r="AM43" s="1283"/>
      <c r="AN43" s="1283"/>
      <c r="AO43" s="1283"/>
      <c r="AP43" s="1283"/>
      <c r="AQ43" s="1283"/>
      <c r="AR43" s="1283"/>
      <c r="AS43" s="1283"/>
      <c r="AT43" s="1283"/>
      <c r="AU43" s="1283"/>
      <c r="AV43" s="1283"/>
      <c r="AW43" s="1283"/>
      <c r="AX43" s="1283"/>
      <c r="AY43" s="1283"/>
      <c r="AZ43" s="1283"/>
      <c r="BA43" s="1283"/>
      <c r="BB43" s="1283"/>
      <c r="BC43" s="1283"/>
      <c r="BD43" s="1283"/>
      <c r="BE43" s="1283"/>
      <c r="BF43" s="1283"/>
      <c r="BG43" s="1283"/>
      <c r="BH43" s="1283"/>
      <c r="BI43" s="1283"/>
      <c r="BJ43" s="1283"/>
      <c r="BK43" s="1283"/>
      <c r="BL43" s="1283"/>
      <c r="BM43" s="1283"/>
      <c r="BN43" s="1283"/>
      <c r="BO43" s="1283"/>
      <c r="BP43" s="1283"/>
      <c r="BQ43" s="1283"/>
      <c r="BR43" s="1283"/>
      <c r="BS43" s="1284"/>
      <c r="BT43" s="1285" t="str">
        <f>IFERROR(IF(AND(BZ43,CF43)="","",SUM(BZ43)+SUM(CF43)),"")</f>
        <v/>
      </c>
      <c r="BU43" s="1286"/>
      <c r="BV43" s="1286"/>
      <c r="BW43" s="1286"/>
      <c r="BX43" s="1286"/>
      <c r="BY43" s="1287"/>
      <c r="BZ43" s="1288"/>
      <c r="CA43" s="1289"/>
      <c r="CB43" s="1289"/>
      <c r="CC43" s="1289"/>
      <c r="CD43" s="1289"/>
      <c r="CE43" s="1289"/>
      <c r="CF43" s="1288"/>
      <c r="CG43" s="1289"/>
      <c r="CH43" s="1289"/>
      <c r="CI43" s="1289"/>
      <c r="CJ43" s="1289"/>
      <c r="CK43" s="1290"/>
      <c r="CL43" s="1288"/>
      <c r="CM43" s="1289"/>
      <c r="CN43" s="1289"/>
      <c r="CO43" s="1289"/>
      <c r="CP43" s="1289"/>
      <c r="CQ43" s="1291"/>
    </row>
    <row r="44" spans="1:95" s="633" customFormat="1" ht="14.25">
      <c r="A44" s="740">
        <v>0.39000000000000018</v>
      </c>
      <c r="B44" s="740">
        <v>0.79000000000000048</v>
      </c>
      <c r="C44" s="740">
        <v>1.2000000000000002</v>
      </c>
      <c r="D44" s="740">
        <v>1.6000000000000005</v>
      </c>
      <c r="E44" s="740" t="str">
        <f t="shared" si="0"/>
        <v/>
      </c>
      <c r="F44" s="740" t="str">
        <f t="shared" si="1"/>
        <v/>
      </c>
      <c r="G44" s="740" t="str">
        <f>IF(LEN(CF44)=0,"",1+ABS((CF44*C44)/LEN(CF44))+C44)</f>
        <v/>
      </c>
      <c r="H44" s="740" t="str">
        <f>IF(LEN(CL44)=0,"",1+ABS((CL44*D44)/LEN(CL44))+D44)</f>
        <v/>
      </c>
      <c r="I44" s="740"/>
      <c r="J44" s="648" t="s">
        <v>2557</v>
      </c>
      <c r="K44" s="1234" t="s">
        <v>2558</v>
      </c>
      <c r="L44" s="1235"/>
      <c r="M44" s="1235"/>
      <c r="N44" s="1235"/>
      <c r="O44" s="1235"/>
      <c r="P44" s="1235"/>
      <c r="Q44" s="1235"/>
      <c r="R44" s="1235"/>
      <c r="S44" s="1235"/>
      <c r="T44" s="1235"/>
      <c r="U44" s="1235"/>
      <c r="V44" s="1235"/>
      <c r="W44" s="1235"/>
      <c r="X44" s="1235"/>
      <c r="Y44" s="1235"/>
      <c r="Z44" s="1235"/>
      <c r="AA44" s="1235"/>
      <c r="AB44" s="1235"/>
      <c r="AC44" s="1235"/>
      <c r="AD44" s="1235"/>
      <c r="AE44" s="1235"/>
      <c r="AF44" s="1235"/>
      <c r="AG44" s="1235"/>
      <c r="AH44" s="1235"/>
      <c r="AI44" s="1235"/>
      <c r="AJ44" s="1235"/>
      <c r="AK44" s="1235"/>
      <c r="AL44" s="1235"/>
      <c r="AM44" s="1235"/>
      <c r="AN44" s="1235"/>
      <c r="AO44" s="1235"/>
      <c r="AP44" s="1235"/>
      <c r="AQ44" s="1235"/>
      <c r="AR44" s="1235"/>
      <c r="AS44" s="1235"/>
      <c r="AT44" s="1235"/>
      <c r="AU44" s="1235"/>
      <c r="AV44" s="1235"/>
      <c r="AW44" s="1235"/>
      <c r="AX44" s="1235"/>
      <c r="AY44" s="1235"/>
      <c r="AZ44" s="1235"/>
      <c r="BA44" s="1235"/>
      <c r="BB44" s="1235"/>
      <c r="BC44" s="1235"/>
      <c r="BD44" s="1235"/>
      <c r="BE44" s="1235"/>
      <c r="BF44" s="1235"/>
      <c r="BG44" s="1235"/>
      <c r="BH44" s="1235"/>
      <c r="BI44" s="1235"/>
      <c r="BJ44" s="1235"/>
      <c r="BK44" s="1235"/>
      <c r="BL44" s="1235"/>
      <c r="BM44" s="1235"/>
      <c r="BN44" s="1235"/>
      <c r="BO44" s="1235"/>
      <c r="BP44" s="1235"/>
      <c r="BQ44" s="1235"/>
      <c r="BR44" s="1235"/>
      <c r="BS44" s="1236"/>
      <c r="BT44" s="1237" t="str">
        <f>IFERROR(IF(AND(BZ44,CF44)="","",SUM(BZ44)+SUM(CF44)),"")</f>
        <v/>
      </c>
      <c r="BU44" s="1238"/>
      <c r="BV44" s="1238"/>
      <c r="BW44" s="1238"/>
      <c r="BX44" s="1238"/>
      <c r="BY44" s="1239"/>
      <c r="BZ44" s="1240"/>
      <c r="CA44" s="1241"/>
      <c r="CB44" s="1241"/>
      <c r="CC44" s="1241"/>
      <c r="CD44" s="1241"/>
      <c r="CE44" s="1241"/>
      <c r="CF44" s="1240"/>
      <c r="CG44" s="1241"/>
      <c r="CH44" s="1241"/>
      <c r="CI44" s="1241"/>
      <c r="CJ44" s="1241"/>
      <c r="CK44" s="1242"/>
      <c r="CL44" s="1240"/>
      <c r="CM44" s="1241"/>
      <c r="CN44" s="1241"/>
      <c r="CO44" s="1241"/>
      <c r="CP44" s="1241"/>
      <c r="CQ44" s="1243"/>
    </row>
    <row r="45" spans="1:95" s="633" customFormat="1" ht="14.25">
      <c r="A45" s="740">
        <v>0.40000000000000019</v>
      </c>
      <c r="B45" s="740">
        <v>0.80000000000000049</v>
      </c>
      <c r="C45" s="740">
        <v>1.2100000000000002</v>
      </c>
      <c r="D45" s="740">
        <v>1.6100000000000005</v>
      </c>
      <c r="E45" s="740" t="str">
        <f t="shared" si="0"/>
        <v/>
      </c>
      <c r="F45" s="740"/>
      <c r="G45" s="740" t="str">
        <f>IF(LEN(CF45)=0,"",1+ABS((CF45*C45)/LEN(CF45))+C45)</f>
        <v/>
      </c>
      <c r="H45" s="740" t="str">
        <f>IF(LEN(CL45)=0,"",1+ABS((CL45*D45)/LEN(CL45))+D45)</f>
        <v/>
      </c>
      <c r="I45" s="740"/>
      <c r="J45" s="657" t="s">
        <v>2559</v>
      </c>
      <c r="K45" s="1259" t="s">
        <v>2560</v>
      </c>
      <c r="L45" s="1260"/>
      <c r="M45" s="1260"/>
      <c r="N45" s="1260"/>
      <c r="O45" s="1260"/>
      <c r="P45" s="1260"/>
      <c r="Q45" s="1260"/>
      <c r="R45" s="1260"/>
      <c r="S45" s="1260"/>
      <c r="T45" s="1260"/>
      <c r="U45" s="1260"/>
      <c r="V45" s="1260"/>
      <c r="W45" s="1260"/>
      <c r="X45" s="1260"/>
      <c r="Y45" s="1260"/>
      <c r="Z45" s="1260"/>
      <c r="AA45" s="1260"/>
      <c r="AB45" s="1260"/>
      <c r="AC45" s="1260"/>
      <c r="AD45" s="1260"/>
      <c r="AE45" s="1260"/>
      <c r="AF45" s="1260"/>
      <c r="AG45" s="1260"/>
      <c r="AH45" s="1260"/>
      <c r="AI45" s="1260"/>
      <c r="AJ45" s="1260"/>
      <c r="AK45" s="1260"/>
      <c r="AL45" s="1260"/>
      <c r="AM45" s="1260"/>
      <c r="AN45" s="1260"/>
      <c r="AO45" s="1260"/>
      <c r="AP45" s="1260"/>
      <c r="AQ45" s="1260"/>
      <c r="AR45" s="1260"/>
      <c r="AS45" s="1260"/>
      <c r="AT45" s="1260"/>
      <c r="AU45" s="1260"/>
      <c r="AV45" s="1260"/>
      <c r="AW45" s="1260"/>
      <c r="AX45" s="1260"/>
      <c r="AY45" s="1260"/>
      <c r="AZ45" s="1260"/>
      <c r="BA45" s="1260"/>
      <c r="BB45" s="1260"/>
      <c r="BC45" s="1260"/>
      <c r="BD45" s="1260"/>
      <c r="BE45" s="1260"/>
      <c r="BF45" s="1260"/>
      <c r="BG45" s="1260"/>
      <c r="BH45" s="1260"/>
      <c r="BI45" s="1260"/>
      <c r="BJ45" s="1260"/>
      <c r="BK45" s="1260"/>
      <c r="BL45" s="1260"/>
      <c r="BM45" s="1260"/>
      <c r="BN45" s="1260"/>
      <c r="BO45" s="1260"/>
      <c r="BP45" s="1260"/>
      <c r="BQ45" s="1260"/>
      <c r="BR45" s="1260"/>
      <c r="BS45" s="1261"/>
      <c r="BT45" s="1262" t="str">
        <f>IF(CF45="","",CF45)</f>
        <v/>
      </c>
      <c r="BU45" s="1263"/>
      <c r="BV45" s="1263"/>
      <c r="BW45" s="1263"/>
      <c r="BX45" s="1263"/>
      <c r="BY45" s="1264"/>
      <c r="BZ45" s="1265" t="s">
        <v>2494</v>
      </c>
      <c r="CA45" s="1266"/>
      <c r="CB45" s="1266"/>
      <c r="CC45" s="1266"/>
      <c r="CD45" s="1266"/>
      <c r="CE45" s="1267"/>
      <c r="CF45" s="1230"/>
      <c r="CG45" s="1231"/>
      <c r="CH45" s="1231"/>
      <c r="CI45" s="1231"/>
      <c r="CJ45" s="1231"/>
      <c r="CK45" s="1232"/>
      <c r="CL45" s="1230"/>
      <c r="CM45" s="1231"/>
      <c r="CN45" s="1231"/>
      <c r="CO45" s="1231"/>
      <c r="CP45" s="1231"/>
      <c r="CQ45" s="1233"/>
    </row>
    <row r="46" spans="1:95" s="742" customFormat="1" ht="19.5" customHeight="1">
      <c r="A46" s="740"/>
      <c r="B46" s="740"/>
      <c r="C46" s="740"/>
      <c r="D46" s="740"/>
      <c r="E46" s="740"/>
      <c r="F46" s="740"/>
      <c r="G46" s="740"/>
      <c r="H46" s="740"/>
      <c r="I46" s="740"/>
      <c r="J46" s="661" t="s">
        <v>2561</v>
      </c>
      <c r="K46" s="662"/>
      <c r="L46" s="662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63"/>
      <c r="X46" s="663"/>
      <c r="Y46" s="663"/>
      <c r="Z46" s="663"/>
      <c r="AA46" s="663"/>
      <c r="AB46" s="663"/>
      <c r="AC46" s="663"/>
      <c r="AD46" s="663"/>
      <c r="AE46" s="663"/>
      <c r="AF46" s="664"/>
      <c r="AG46" s="665"/>
      <c r="AH46" s="665"/>
      <c r="AI46" s="665"/>
      <c r="AJ46" s="665"/>
      <c r="AK46" s="665"/>
      <c r="AL46" s="665"/>
      <c r="AM46" s="665"/>
      <c r="AN46" s="665"/>
      <c r="AO46" s="665"/>
      <c r="AP46" s="665"/>
      <c r="AQ46" s="665"/>
      <c r="AR46" s="665"/>
      <c r="AS46" s="665"/>
      <c r="AT46" s="665"/>
      <c r="AU46" s="665"/>
      <c r="AV46" s="665"/>
      <c r="AW46" s="665"/>
      <c r="AX46" s="665"/>
      <c r="AY46" s="665"/>
      <c r="AZ46" s="665"/>
      <c r="BA46" s="665"/>
      <c r="BB46" s="665"/>
      <c r="BC46" s="665"/>
      <c r="BD46" s="664"/>
      <c r="BE46" s="666"/>
      <c r="BF46" s="667" t="s">
        <v>2562</v>
      </c>
      <c r="BG46" s="664"/>
      <c r="BH46" s="668"/>
      <c r="BI46" s="669"/>
      <c r="BJ46" s="669"/>
      <c r="BK46" s="669"/>
      <c r="BL46" s="664"/>
      <c r="BM46" s="664"/>
      <c r="BN46" s="664"/>
      <c r="BO46" s="664"/>
      <c r="BP46" s="664"/>
      <c r="BQ46" s="664"/>
      <c r="BR46" s="664"/>
      <c r="BS46" s="662"/>
      <c r="BT46" s="662"/>
      <c r="BU46" s="662"/>
      <c r="BV46" s="662"/>
      <c r="BW46" s="662"/>
      <c r="BX46" s="670"/>
      <c r="BY46" s="670"/>
      <c r="BZ46" s="983"/>
      <c r="CA46" s="983"/>
      <c r="CB46" s="983"/>
      <c r="CC46" s="983"/>
      <c r="CD46" s="983"/>
      <c r="CE46" s="983"/>
      <c r="CF46" s="670"/>
      <c r="CG46" s="670"/>
      <c r="CH46" s="670"/>
      <c r="CI46" s="670"/>
      <c r="CJ46" s="670"/>
      <c r="CK46" s="670"/>
      <c r="CL46" s="670"/>
      <c r="CM46" s="670"/>
      <c r="CN46" s="670"/>
      <c r="CO46" s="670"/>
      <c r="CP46" s="670"/>
      <c r="CQ46" s="670"/>
    </row>
    <row r="47" spans="1:95" s="633" customFormat="1" ht="19.5" customHeight="1">
      <c r="A47" s="740"/>
      <c r="B47" s="740"/>
      <c r="C47" s="740"/>
      <c r="D47" s="740"/>
      <c r="E47" s="740"/>
      <c r="F47" s="740"/>
      <c r="G47" s="740"/>
      <c r="H47" s="740"/>
      <c r="I47" s="740"/>
      <c r="J47" s="671" t="s">
        <v>2563</v>
      </c>
      <c r="K47" s="638"/>
      <c r="L47" s="638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  <c r="Y47" s="637"/>
      <c r="Z47" s="637"/>
      <c r="AA47" s="637"/>
      <c r="AB47" s="637"/>
      <c r="AC47" s="637"/>
      <c r="AD47" s="637"/>
      <c r="AE47" s="637"/>
      <c r="AF47" s="672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2"/>
      <c r="BE47" s="674"/>
      <c r="BF47" s="675" t="s">
        <v>2564</v>
      </c>
      <c r="BG47" s="672"/>
      <c r="BH47" s="676"/>
      <c r="BI47" s="677"/>
      <c r="BJ47" s="677"/>
      <c r="BK47" s="677"/>
      <c r="BL47" s="672"/>
      <c r="BM47" s="672"/>
      <c r="BN47" s="672"/>
      <c r="BO47" s="672"/>
      <c r="BP47" s="672"/>
      <c r="BQ47" s="672"/>
      <c r="BR47" s="672"/>
      <c r="BS47" s="638"/>
      <c r="BT47" s="638"/>
      <c r="BU47" s="678"/>
      <c r="BV47" s="638"/>
      <c r="BW47" s="677"/>
      <c r="BX47" s="678"/>
      <c r="BY47" s="678"/>
      <c r="BZ47" s="678"/>
      <c r="CA47" s="678"/>
      <c r="CB47" s="678"/>
      <c r="CC47" s="678"/>
      <c r="CD47" s="678"/>
      <c r="CE47" s="678"/>
      <c r="CF47" s="678"/>
      <c r="CG47" s="678"/>
      <c r="CH47" s="678"/>
      <c r="CI47" s="678"/>
      <c r="CJ47" s="678"/>
      <c r="CK47" s="678"/>
      <c r="CL47" s="678"/>
      <c r="CM47" s="678"/>
      <c r="CN47" s="678"/>
      <c r="CO47" s="678"/>
      <c r="CP47" s="678"/>
      <c r="CQ47" s="678"/>
    </row>
    <row r="48" spans="1:95" s="633" customFormat="1" ht="19.5" customHeight="1">
      <c r="A48" s="740"/>
      <c r="B48" s="740"/>
      <c r="C48" s="740"/>
      <c r="D48" s="740"/>
      <c r="E48" s="740"/>
      <c r="F48" s="740"/>
      <c r="G48" s="740"/>
      <c r="H48" s="740"/>
      <c r="I48" s="740"/>
      <c r="J48" s="671" t="s">
        <v>2565</v>
      </c>
      <c r="K48" s="638"/>
      <c r="L48" s="638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  <c r="AF48" s="637"/>
      <c r="AG48" s="637"/>
      <c r="AH48" s="637"/>
      <c r="AI48" s="637"/>
      <c r="AJ48" s="637"/>
      <c r="AK48" s="637"/>
      <c r="AL48" s="637"/>
      <c r="AM48" s="637"/>
      <c r="AN48" s="637"/>
      <c r="AO48" s="637"/>
      <c r="AP48" s="637"/>
      <c r="AQ48" s="637"/>
      <c r="AR48" s="637"/>
      <c r="AS48" s="637"/>
      <c r="AT48" s="637"/>
      <c r="AU48" s="637"/>
      <c r="AV48" s="637"/>
      <c r="AW48" s="637"/>
      <c r="AX48" s="637"/>
      <c r="AY48" s="637"/>
      <c r="AZ48" s="637"/>
      <c r="BA48" s="637"/>
      <c r="BB48" s="637"/>
      <c r="BC48" s="637"/>
      <c r="BD48" s="672"/>
      <c r="BE48" s="679"/>
      <c r="BF48" s="675" t="s">
        <v>2566</v>
      </c>
      <c r="BG48" s="672"/>
      <c r="BH48" s="676"/>
      <c r="BI48" s="677"/>
      <c r="BJ48" s="677"/>
      <c r="BK48" s="677"/>
      <c r="BL48" s="672"/>
      <c r="BM48" s="672"/>
      <c r="BN48" s="672"/>
      <c r="BO48" s="672"/>
      <c r="BP48" s="672"/>
      <c r="BQ48" s="672"/>
      <c r="BR48" s="672"/>
      <c r="BS48" s="638"/>
      <c r="BT48" s="638"/>
      <c r="BU48" s="678"/>
      <c r="BV48" s="638"/>
      <c r="BW48" s="638"/>
      <c r="BX48" s="678"/>
      <c r="BY48" s="678"/>
      <c r="BZ48" s="678"/>
      <c r="CA48" s="678"/>
      <c r="CB48" s="678"/>
      <c r="CC48" s="678"/>
      <c r="CD48" s="678"/>
      <c r="CE48" s="678"/>
      <c r="CF48" s="678"/>
      <c r="CG48" s="678"/>
      <c r="CH48" s="678"/>
      <c r="CI48" s="678"/>
      <c r="CJ48" s="678"/>
      <c r="CK48" s="678"/>
      <c r="CL48" s="678"/>
      <c r="CM48" s="678"/>
      <c r="CN48" s="678"/>
      <c r="CO48" s="678"/>
      <c r="CP48" s="678"/>
      <c r="CQ48" s="678"/>
    </row>
    <row r="49" spans="1:95" s="633" customFormat="1" ht="24" customHeight="1">
      <c r="A49" s="740"/>
      <c r="B49" s="740"/>
      <c r="C49" s="740"/>
      <c r="D49" s="740"/>
      <c r="E49" s="740"/>
      <c r="F49" s="740"/>
      <c r="G49" s="740"/>
      <c r="H49" s="740"/>
      <c r="I49" s="740"/>
      <c r="J49" s="985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  <c r="BD49" s="672"/>
      <c r="BE49" s="672"/>
      <c r="BF49" s="672"/>
      <c r="BG49" s="672"/>
      <c r="BH49" s="672"/>
      <c r="BI49" s="672"/>
      <c r="BJ49" s="672"/>
      <c r="BK49" s="672"/>
      <c r="BL49" s="672"/>
      <c r="BM49" s="672"/>
      <c r="BN49" s="672"/>
      <c r="BO49" s="672"/>
      <c r="BP49" s="672"/>
      <c r="BQ49" s="672"/>
      <c r="BR49" s="672"/>
      <c r="BS49" s="672"/>
      <c r="BT49" s="638"/>
      <c r="BU49" s="638"/>
      <c r="BV49" s="638"/>
      <c r="BW49" s="638"/>
      <c r="BX49" s="638"/>
      <c r="BY49" s="638"/>
      <c r="BZ49" s="638"/>
      <c r="CA49" s="638"/>
      <c r="CB49" s="638"/>
      <c r="CC49" s="638"/>
      <c r="CD49" s="638"/>
      <c r="CE49" s="638"/>
      <c r="CF49" s="638"/>
      <c r="CG49" s="638"/>
      <c r="CH49" s="638"/>
      <c r="CI49" s="638"/>
      <c r="CJ49" s="638"/>
      <c r="CK49" s="638"/>
      <c r="CL49" s="638"/>
      <c r="CM49" s="638"/>
      <c r="CN49" s="638"/>
      <c r="CO49" s="638"/>
      <c r="CP49" s="638"/>
      <c r="CQ49" s="638"/>
    </row>
    <row r="50" spans="1:95" s="633" customFormat="1" ht="33">
      <c r="A50" s="740"/>
      <c r="B50" s="740"/>
      <c r="C50" s="740"/>
      <c r="D50" s="740"/>
      <c r="E50" s="740"/>
      <c r="F50" s="740"/>
      <c r="G50" s="740"/>
      <c r="H50" s="740"/>
      <c r="I50" s="740"/>
      <c r="J50" s="888"/>
      <c r="K50" s="986"/>
      <c r="L50" s="672"/>
      <c r="M50" s="987"/>
      <c r="N50" s="987"/>
      <c r="O50" s="987"/>
      <c r="P50" s="987"/>
      <c r="Q50" s="987"/>
      <c r="R50" s="987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72"/>
      <c r="BB50" s="672"/>
      <c r="BC50" s="672"/>
      <c r="BD50" s="672"/>
      <c r="BE50" s="672"/>
      <c r="BF50" s="672"/>
      <c r="BG50" s="672"/>
      <c r="BH50" s="672"/>
      <c r="BI50" s="672"/>
      <c r="BJ50" s="672"/>
      <c r="BK50" s="672"/>
      <c r="BL50" s="672"/>
      <c r="BM50" s="672"/>
      <c r="BN50" s="672"/>
      <c r="BO50" s="672"/>
      <c r="BP50" s="672"/>
      <c r="BQ50" s="672"/>
      <c r="BR50" s="672"/>
      <c r="BS50" s="672"/>
      <c r="BT50" s="638"/>
      <c r="BU50" s="638"/>
      <c r="BV50" s="638"/>
      <c r="BW50" s="638"/>
      <c r="BX50" s="638"/>
      <c r="BY50" s="638"/>
      <c r="BZ50" s="638"/>
      <c r="CA50" s="638"/>
      <c r="CB50" s="638"/>
      <c r="CC50" s="638"/>
      <c r="CD50" s="638"/>
      <c r="CE50" s="638"/>
      <c r="CF50" s="638"/>
      <c r="CG50" s="638"/>
      <c r="CH50" s="638"/>
      <c r="CI50" s="638"/>
      <c r="CJ50" s="638"/>
      <c r="CK50" s="638"/>
      <c r="CL50" s="638"/>
      <c r="CM50" s="638"/>
      <c r="CN50" s="638"/>
      <c r="CO50" s="638"/>
      <c r="CP50" s="638"/>
      <c r="CQ50" s="638"/>
    </row>
    <row r="51" spans="1:95" s="638" customFormat="1" ht="37.5" customHeight="1">
      <c r="A51" s="664"/>
      <c r="B51" s="664"/>
      <c r="C51" s="664"/>
      <c r="D51" s="664"/>
      <c r="E51" s="664"/>
      <c r="F51" s="664"/>
      <c r="G51" s="664"/>
      <c r="H51" s="664"/>
      <c r="I51" s="664"/>
      <c r="J51" s="680" t="str">
        <f>IF('INV01-1'!B61&amp;'INV01-2'!E83&amp;'INV01-2'!F83&amp;'INV01-2'!G83&amp;'INV01-2'!H83="","Obrazac prazan - unesite cifru na barem jednu poziciju.","Kontrolni broj: "&amp;MID('INV01-1'!BE1,2,LEN('INV01-1'!BE1)-2))</f>
        <v>Obrazac prazan - unesite cifru na barem jednu poziciju.</v>
      </c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681"/>
      <c r="AK51" s="681"/>
      <c r="AL51" s="681"/>
      <c r="AM51" s="681"/>
      <c r="AN51" s="681"/>
      <c r="AO51" s="681"/>
      <c r="AP51" s="681"/>
      <c r="AQ51" s="681"/>
      <c r="AR51" s="681"/>
      <c r="AS51" s="681"/>
      <c r="AT51" s="681"/>
      <c r="AU51" s="681"/>
      <c r="AV51" s="681"/>
      <c r="AW51" s="681"/>
      <c r="AX51" s="681"/>
      <c r="AY51" s="681"/>
      <c r="AZ51" s="681"/>
      <c r="BA51" s="681"/>
      <c r="BB51" s="681"/>
      <c r="BC51" s="681"/>
      <c r="BD51" s="681"/>
      <c r="BE51" s="672"/>
      <c r="BF51" s="672"/>
      <c r="BG51" s="672"/>
      <c r="BH51" s="672"/>
      <c r="BI51" s="672"/>
      <c r="BJ51" s="672"/>
      <c r="BK51" s="672"/>
      <c r="BL51" s="672"/>
      <c r="BM51" s="672"/>
      <c r="BN51" s="672"/>
      <c r="BO51" s="672"/>
      <c r="BP51" s="672"/>
      <c r="BQ51" s="672"/>
      <c r="BR51" s="672"/>
      <c r="BS51" s="672"/>
      <c r="BT51" s="672"/>
      <c r="BU51" s="672"/>
      <c r="BV51" s="672"/>
      <c r="BW51" s="672"/>
      <c r="BX51" s="672"/>
      <c r="BY51" s="672"/>
      <c r="BZ51" s="672"/>
      <c r="CA51" s="672"/>
      <c r="CB51" s="672"/>
      <c r="CC51" s="672"/>
      <c r="CD51" s="672"/>
      <c r="CE51" s="672"/>
      <c r="CF51" s="672"/>
      <c r="CG51" s="672"/>
      <c r="CH51" s="672"/>
      <c r="CI51" s="672"/>
      <c r="CJ51" s="672"/>
      <c r="CK51" s="672"/>
      <c r="CL51" s="672"/>
      <c r="CM51" s="672"/>
      <c r="CN51" s="672"/>
      <c r="CO51" s="672"/>
      <c r="CP51" s="672"/>
      <c r="CQ51" s="743" t="s">
        <v>2193</v>
      </c>
    </row>
    <row r="52" spans="1:95" ht="16.5" customHeight="1">
      <c r="J52" s="275" t="str">
        <f>IF(OsnPodaci!A58="","Unijeti interval izvještavanja.","TABELA 4. INVESTICIJE U NOVA STALNA SREDSTVA PO NAMJENI ULAGANJA I TERITORIJI U  "&amp;TEXT(OsnPodaci!A58,"yyyy")&amp;". GODINI")</f>
        <v>TABELA 4. INVESTICIJE U NOVA STALNA SREDSTVA PO NAMJENI ULAGANJA I TERITORIJI U  2022. GODINI</v>
      </c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169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</row>
    <row r="53" spans="1:95" s="75" customFormat="1" ht="14.25" customHeight="1">
      <c r="J53" s="1268" t="s">
        <v>2085</v>
      </c>
      <c r="K53" s="682"/>
      <c r="L53" s="683"/>
      <c r="M53" s="683"/>
      <c r="N53" s="683"/>
      <c r="O53" s="683"/>
      <c r="P53" s="683"/>
      <c r="Q53" s="683"/>
      <c r="R53" s="683"/>
      <c r="S53" s="683"/>
      <c r="T53" s="683"/>
      <c r="U53" s="683"/>
      <c r="V53" s="683"/>
      <c r="W53" s="683"/>
      <c r="X53" s="683"/>
      <c r="Y53" s="683"/>
      <c r="Z53" s="683"/>
      <c r="AA53" s="683"/>
      <c r="AB53" s="683"/>
      <c r="AC53" s="683"/>
      <c r="AD53" s="683"/>
      <c r="AE53" s="683"/>
      <c r="AF53" s="683"/>
      <c r="AG53" s="683"/>
      <c r="AH53" s="683"/>
      <c r="AI53" s="683"/>
      <c r="AJ53" s="683"/>
      <c r="AK53" s="683"/>
      <c r="AL53" s="683"/>
      <c r="AM53" s="684"/>
      <c r="AN53" s="1270" t="s">
        <v>2567</v>
      </c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2"/>
      <c r="BB53" s="1271" t="s">
        <v>2568</v>
      </c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  <c r="BU53" s="1271"/>
      <c r="BV53" s="1271"/>
      <c r="BW53" s="1271"/>
      <c r="BX53" s="1271"/>
      <c r="BY53" s="1271"/>
      <c r="BZ53" s="1271"/>
      <c r="CA53" s="1271"/>
      <c r="CB53" s="1271"/>
      <c r="CC53" s="1271"/>
      <c r="CD53" s="1271"/>
      <c r="CE53" s="1271"/>
      <c r="CF53" s="1271"/>
      <c r="CG53" s="1271"/>
      <c r="CH53" s="1271"/>
      <c r="CI53" s="1271"/>
      <c r="CJ53" s="1271"/>
      <c r="CK53" s="1271"/>
      <c r="CL53" s="1271"/>
      <c r="CM53" s="1271"/>
      <c r="CN53" s="1271"/>
      <c r="CO53" s="1271"/>
      <c r="CP53" s="1271"/>
      <c r="CQ53" s="1273"/>
    </row>
    <row r="54" spans="1:95" s="75" customFormat="1">
      <c r="J54" s="1269"/>
      <c r="K54" s="685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6"/>
      <c r="AL54" s="686"/>
      <c r="AM54" s="687"/>
      <c r="AN54" s="688" t="s">
        <v>2569</v>
      </c>
      <c r="AO54" s="689"/>
      <c r="AP54" s="689"/>
      <c r="AQ54" s="689"/>
      <c r="AR54" s="689"/>
      <c r="AS54" s="689"/>
      <c r="AT54" s="689"/>
      <c r="AU54" s="689"/>
      <c r="AV54" s="689"/>
      <c r="AW54" s="689"/>
      <c r="AX54" s="689"/>
      <c r="AY54" s="689"/>
      <c r="AZ54" s="689"/>
      <c r="BA54" s="690"/>
      <c r="BB54" s="688" t="s">
        <v>2569</v>
      </c>
      <c r="BC54" s="689"/>
      <c r="BD54" s="689"/>
      <c r="BE54" s="689"/>
      <c r="BF54" s="689"/>
      <c r="BG54" s="689"/>
      <c r="BH54" s="689"/>
      <c r="BI54" s="689"/>
      <c r="BJ54" s="689"/>
      <c r="BK54" s="689"/>
      <c r="BL54" s="689"/>
      <c r="BM54" s="689"/>
      <c r="BN54" s="689"/>
      <c r="BO54" s="690"/>
      <c r="BP54" s="688" t="s">
        <v>2569</v>
      </c>
      <c r="BQ54" s="689"/>
      <c r="BR54" s="689"/>
      <c r="BS54" s="689"/>
      <c r="BT54" s="689"/>
      <c r="BU54" s="689"/>
      <c r="BV54" s="689"/>
      <c r="BW54" s="689"/>
      <c r="BX54" s="689"/>
      <c r="BY54" s="689"/>
      <c r="BZ54" s="689"/>
      <c r="CA54" s="689"/>
      <c r="CB54" s="689"/>
      <c r="CC54" s="690"/>
      <c r="CD54" s="688" t="s">
        <v>2569</v>
      </c>
      <c r="CE54" s="689"/>
      <c r="CF54" s="689"/>
      <c r="CG54" s="689"/>
      <c r="CH54" s="689"/>
      <c r="CI54" s="689"/>
      <c r="CJ54" s="689"/>
      <c r="CK54" s="689"/>
      <c r="CL54" s="689"/>
      <c r="CM54" s="689"/>
      <c r="CN54" s="689"/>
      <c r="CO54" s="689"/>
      <c r="CP54" s="689"/>
      <c r="CQ54" s="691"/>
    </row>
    <row r="55" spans="1:95" s="75" customFormat="1" ht="27.75" customHeight="1">
      <c r="J55" s="1269"/>
      <c r="K55" s="685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  <c r="AK55" s="686"/>
      <c r="AL55" s="686"/>
      <c r="AM55" s="687"/>
      <c r="AN55" s="1274" t="str">
        <f>IF(OsnPodaci!B19="","",OsnPodaci!B19)</f>
        <v>Trustovi, ostali fondovi i slični finansijski subjekti</v>
      </c>
      <c r="AO55" s="1275"/>
      <c r="AP55" s="1275"/>
      <c r="AQ55" s="1275"/>
      <c r="AR55" s="1275"/>
      <c r="AS55" s="1275"/>
      <c r="AT55" s="1275"/>
      <c r="AU55" s="1275"/>
      <c r="AV55" s="1275"/>
      <c r="AW55" s="1275"/>
      <c r="AX55" s="1275"/>
      <c r="AY55" s="1275"/>
      <c r="AZ55" s="1275"/>
      <c r="BA55" s="690"/>
      <c r="BB55" s="1274" t="str">
        <f>IF(ISERROR(VLOOKUP(BJ62,'#Konverter'!$I:$J,2,FALSE)),"Ne postoji.",VLOOKUP(BJ62,'#Konverter'!$I:$J,2,FALSE))</f>
        <v>Ne postoji.</v>
      </c>
      <c r="BC55" s="1275"/>
      <c r="BD55" s="1275"/>
      <c r="BE55" s="1275"/>
      <c r="BF55" s="1275"/>
      <c r="BG55" s="1275"/>
      <c r="BH55" s="1275"/>
      <c r="BI55" s="1275"/>
      <c r="BJ55" s="1275"/>
      <c r="BK55" s="1275"/>
      <c r="BL55" s="1275"/>
      <c r="BM55" s="1275"/>
      <c r="BN55" s="1275"/>
      <c r="BO55" s="690"/>
      <c r="BP55" s="1274" t="str">
        <f>IF(ISERROR(VLOOKUP(BX62,'#Konverter'!$I:$J,2,FALSE)),"Ne postoji.",VLOOKUP(BX62,'#Konverter'!$I:$J,2,FALSE))</f>
        <v>Ne postoji.</v>
      </c>
      <c r="BQ55" s="1275"/>
      <c r="BR55" s="1275"/>
      <c r="BS55" s="1275"/>
      <c r="BT55" s="1275"/>
      <c r="BU55" s="1275"/>
      <c r="BV55" s="1275"/>
      <c r="BW55" s="1275"/>
      <c r="BX55" s="1275"/>
      <c r="BY55" s="1275"/>
      <c r="BZ55" s="1275"/>
      <c r="CA55" s="1275"/>
      <c r="CB55" s="1275"/>
      <c r="CC55" s="690"/>
      <c r="CD55" s="1274" t="str">
        <f>IF(ISERROR(VLOOKUP(CL62,'#Konverter'!$I:$J,2,FALSE)),"Ne postoji.",VLOOKUP(CL62,'#Konverter'!$I:$J,2,FALSE))</f>
        <v>Ne postoji.</v>
      </c>
      <c r="CE55" s="1275"/>
      <c r="CF55" s="1275"/>
      <c r="CG55" s="1275"/>
      <c r="CH55" s="1275"/>
      <c r="CI55" s="1275"/>
      <c r="CJ55" s="1275"/>
      <c r="CK55" s="1275"/>
      <c r="CL55" s="1275"/>
      <c r="CM55" s="1275"/>
      <c r="CN55" s="1275"/>
      <c r="CO55" s="1275"/>
      <c r="CP55" s="1275"/>
      <c r="CQ55" s="691"/>
    </row>
    <row r="56" spans="1:95" s="75" customFormat="1" ht="19.5" customHeight="1">
      <c r="J56" s="1269"/>
      <c r="K56" s="685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  <c r="AL56" s="686"/>
      <c r="AM56" s="687"/>
      <c r="AN56" s="1274"/>
      <c r="AO56" s="1275"/>
      <c r="AP56" s="1275"/>
      <c r="AQ56" s="1275"/>
      <c r="AR56" s="1275"/>
      <c r="AS56" s="1275"/>
      <c r="AT56" s="1275"/>
      <c r="AU56" s="1275"/>
      <c r="AV56" s="1275"/>
      <c r="AW56" s="1275"/>
      <c r="AX56" s="1275"/>
      <c r="AY56" s="1275"/>
      <c r="AZ56" s="1275"/>
      <c r="BA56" s="690"/>
      <c r="BB56" s="1274"/>
      <c r="BC56" s="1275"/>
      <c r="BD56" s="1275"/>
      <c r="BE56" s="1275"/>
      <c r="BF56" s="1275"/>
      <c r="BG56" s="1275"/>
      <c r="BH56" s="1275"/>
      <c r="BI56" s="1275"/>
      <c r="BJ56" s="1275"/>
      <c r="BK56" s="1275"/>
      <c r="BL56" s="1275"/>
      <c r="BM56" s="1275"/>
      <c r="BN56" s="1275"/>
      <c r="BO56" s="690"/>
      <c r="BP56" s="1274"/>
      <c r="BQ56" s="1275"/>
      <c r="BR56" s="1275"/>
      <c r="BS56" s="1275"/>
      <c r="BT56" s="1275"/>
      <c r="BU56" s="1275"/>
      <c r="BV56" s="1275"/>
      <c r="BW56" s="1275"/>
      <c r="BX56" s="1275"/>
      <c r="BY56" s="1275"/>
      <c r="BZ56" s="1275"/>
      <c r="CA56" s="1275"/>
      <c r="CB56" s="1275"/>
      <c r="CC56" s="690"/>
      <c r="CD56" s="1274"/>
      <c r="CE56" s="1275"/>
      <c r="CF56" s="1275"/>
      <c r="CG56" s="1275"/>
      <c r="CH56" s="1275"/>
      <c r="CI56" s="1275"/>
      <c r="CJ56" s="1275"/>
      <c r="CK56" s="1275"/>
      <c r="CL56" s="1275"/>
      <c r="CM56" s="1275"/>
      <c r="CN56" s="1275"/>
      <c r="CO56" s="1275"/>
      <c r="CP56" s="1275"/>
      <c r="CQ56" s="691"/>
    </row>
    <row r="57" spans="1:95" s="75" customFormat="1" ht="27.75" customHeight="1">
      <c r="J57" s="1269"/>
      <c r="K57" s="685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  <c r="AL57" s="686"/>
      <c r="AM57" s="687"/>
      <c r="AN57" s="1274"/>
      <c r="AO57" s="1275"/>
      <c r="AP57" s="1275"/>
      <c r="AQ57" s="1275"/>
      <c r="AR57" s="1276"/>
      <c r="AS57" s="1276"/>
      <c r="AT57" s="1276"/>
      <c r="AU57" s="1276"/>
      <c r="AV57" s="1276"/>
      <c r="AW57" s="1276"/>
      <c r="AX57" s="1276"/>
      <c r="AY57" s="1276"/>
      <c r="AZ57" s="1276"/>
      <c r="BA57" s="690"/>
      <c r="BB57" s="1274"/>
      <c r="BC57" s="1275"/>
      <c r="BD57" s="1275"/>
      <c r="BE57" s="1275"/>
      <c r="BF57" s="1276"/>
      <c r="BG57" s="1276"/>
      <c r="BH57" s="1276"/>
      <c r="BI57" s="1276"/>
      <c r="BJ57" s="1276"/>
      <c r="BK57" s="1276"/>
      <c r="BL57" s="1276"/>
      <c r="BM57" s="1276"/>
      <c r="BN57" s="1276"/>
      <c r="BO57" s="690"/>
      <c r="BP57" s="1274"/>
      <c r="BQ57" s="1275"/>
      <c r="BR57" s="1275"/>
      <c r="BS57" s="1275"/>
      <c r="BT57" s="1276"/>
      <c r="BU57" s="1276"/>
      <c r="BV57" s="1276"/>
      <c r="BW57" s="1276"/>
      <c r="BX57" s="1276"/>
      <c r="BY57" s="1276"/>
      <c r="BZ57" s="1276"/>
      <c r="CA57" s="1276"/>
      <c r="CB57" s="1276"/>
      <c r="CC57" s="690"/>
      <c r="CD57" s="1274"/>
      <c r="CE57" s="1275"/>
      <c r="CF57" s="1275"/>
      <c r="CG57" s="1275"/>
      <c r="CH57" s="1276"/>
      <c r="CI57" s="1276"/>
      <c r="CJ57" s="1276"/>
      <c r="CK57" s="1276"/>
      <c r="CL57" s="1276"/>
      <c r="CM57" s="1276"/>
      <c r="CN57" s="1276"/>
      <c r="CO57" s="1276"/>
      <c r="CP57" s="1276"/>
      <c r="CQ57" s="691"/>
    </row>
    <row r="58" spans="1:95" s="75" customFormat="1" ht="15.75" customHeight="1">
      <c r="J58" s="1269"/>
      <c r="K58" s="685"/>
      <c r="L58" s="686"/>
      <c r="M58" s="686"/>
      <c r="N58" s="686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  <c r="AE58" s="686"/>
      <c r="AF58" s="686"/>
      <c r="AG58" s="686"/>
      <c r="AH58" s="686"/>
      <c r="AI58" s="686"/>
      <c r="AJ58" s="686"/>
      <c r="AK58" s="686"/>
      <c r="AL58" s="686"/>
      <c r="AM58" s="687"/>
      <c r="AN58" s="692" t="s">
        <v>2570</v>
      </c>
      <c r="AO58" s="689"/>
      <c r="AP58" s="689"/>
      <c r="AQ58" s="689"/>
      <c r="AR58" s="1277" t="str">
        <f>IF(OsnPodaci!A10="","",OsnPodaci!A10)</f>
        <v>Sarajevo-Novi Grad</v>
      </c>
      <c r="AS58" s="1277"/>
      <c r="AT58" s="1277"/>
      <c r="AU58" s="1277"/>
      <c r="AV58" s="1277"/>
      <c r="AW58" s="1277"/>
      <c r="AX58" s="1277"/>
      <c r="AY58" s="1277"/>
      <c r="AZ58" s="1277"/>
      <c r="BA58" s="690"/>
      <c r="BB58" s="692" t="s">
        <v>2570</v>
      </c>
      <c r="BC58" s="689"/>
      <c r="BD58" s="689"/>
      <c r="BE58" s="689"/>
      <c r="BF58" s="1277"/>
      <c r="BG58" s="1277"/>
      <c r="BH58" s="1277"/>
      <c r="BI58" s="1277"/>
      <c r="BJ58" s="1277"/>
      <c r="BK58" s="1277"/>
      <c r="BL58" s="1277"/>
      <c r="BM58" s="1277"/>
      <c r="BN58" s="1277"/>
      <c r="BO58" s="690"/>
      <c r="BP58" s="692" t="s">
        <v>2570</v>
      </c>
      <c r="BQ58" s="689"/>
      <c r="BR58" s="689"/>
      <c r="BS58" s="689"/>
      <c r="BT58" s="1277"/>
      <c r="BU58" s="1277"/>
      <c r="BV58" s="1277"/>
      <c r="BW58" s="1277"/>
      <c r="BX58" s="1277"/>
      <c r="BY58" s="1277"/>
      <c r="BZ58" s="1277"/>
      <c r="CA58" s="1277"/>
      <c r="CB58" s="1277"/>
      <c r="CC58" s="690"/>
      <c r="CD58" s="692" t="s">
        <v>2570</v>
      </c>
      <c r="CE58" s="689"/>
      <c r="CF58" s="689"/>
      <c r="CG58" s="689"/>
      <c r="CH58" s="1277"/>
      <c r="CI58" s="1277"/>
      <c r="CJ58" s="1277"/>
      <c r="CK58" s="1277"/>
      <c r="CL58" s="1277"/>
      <c r="CM58" s="1277"/>
      <c r="CN58" s="1277"/>
      <c r="CO58" s="1277"/>
      <c r="CP58" s="1277"/>
      <c r="CQ58" s="691"/>
    </row>
    <row r="59" spans="1:95" s="75" customFormat="1" ht="15" customHeight="1">
      <c r="J59" s="1269"/>
      <c r="K59" s="685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6"/>
      <c r="AL59" s="686"/>
      <c r="AM59" s="687"/>
      <c r="AN59" s="688" t="s">
        <v>2571</v>
      </c>
      <c r="AO59" s="689"/>
      <c r="AP59" s="689"/>
      <c r="AQ59" s="689"/>
      <c r="AR59" s="1278" t="s">
        <v>36</v>
      </c>
      <c r="AS59" s="1278"/>
      <c r="AT59" s="1278"/>
      <c r="AU59" s="1278"/>
      <c r="AV59" s="1278"/>
      <c r="AW59" s="1278"/>
      <c r="AX59" s="1278"/>
      <c r="AY59" s="1278"/>
      <c r="AZ59" s="1278"/>
      <c r="BA59" s="690"/>
      <c r="BB59" s="688" t="s">
        <v>2572</v>
      </c>
      <c r="BC59" s="689"/>
      <c r="BD59" s="689"/>
      <c r="BE59" s="689"/>
      <c r="BF59" s="1279"/>
      <c r="BG59" s="1279"/>
      <c r="BH59" s="1279"/>
      <c r="BI59" s="1279"/>
      <c r="BJ59" s="1279"/>
      <c r="BK59" s="1279"/>
      <c r="BL59" s="1279"/>
      <c r="BM59" s="1279"/>
      <c r="BN59" s="1279"/>
      <c r="BO59" s="690"/>
      <c r="BP59" s="688" t="s">
        <v>2572</v>
      </c>
      <c r="BQ59" s="689"/>
      <c r="BR59" s="689"/>
      <c r="BS59" s="689"/>
      <c r="BT59" s="1279"/>
      <c r="BU59" s="1279"/>
      <c r="BV59" s="1279"/>
      <c r="BW59" s="1279"/>
      <c r="BX59" s="1279"/>
      <c r="BY59" s="1279"/>
      <c r="BZ59" s="1279"/>
      <c r="CA59" s="1279"/>
      <c r="CB59" s="1279"/>
      <c r="CC59" s="690"/>
      <c r="CD59" s="688" t="s">
        <v>2572</v>
      </c>
      <c r="CE59" s="689"/>
      <c r="CF59" s="689"/>
      <c r="CG59" s="689"/>
      <c r="CH59" s="1279"/>
      <c r="CI59" s="1279"/>
      <c r="CJ59" s="1279"/>
      <c r="CK59" s="1279"/>
      <c r="CL59" s="1279"/>
      <c r="CM59" s="1279"/>
      <c r="CN59" s="1279"/>
      <c r="CO59" s="1279"/>
      <c r="CP59" s="1279"/>
      <c r="CQ59" s="691"/>
    </row>
    <row r="60" spans="1:95" s="75" customFormat="1" ht="15" customHeight="1">
      <c r="J60" s="1269"/>
      <c r="K60" s="685"/>
      <c r="L60" s="686"/>
      <c r="M60" s="686"/>
      <c r="N60" s="686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  <c r="AE60" s="686"/>
      <c r="AF60" s="686"/>
      <c r="AG60" s="686"/>
      <c r="AH60" s="686"/>
      <c r="AI60" s="686"/>
      <c r="AJ60" s="686"/>
      <c r="AK60" s="686"/>
      <c r="AL60" s="686"/>
      <c r="AM60" s="687"/>
      <c r="AN60" s="689"/>
      <c r="AO60" s="689"/>
      <c r="AP60" s="689"/>
      <c r="AQ60" s="689"/>
      <c r="AR60" s="689"/>
      <c r="AS60" s="689"/>
      <c r="AT60" s="689"/>
      <c r="AU60" s="689"/>
      <c r="AV60" s="689"/>
      <c r="AW60" s="689"/>
      <c r="AX60" s="689"/>
      <c r="AY60" s="689"/>
      <c r="AZ60" s="689"/>
      <c r="BA60" s="690"/>
      <c r="BB60" s="689"/>
      <c r="BC60" s="689"/>
      <c r="BD60" s="689"/>
      <c r="BE60" s="689"/>
      <c r="BF60" s="689"/>
      <c r="BG60" s="689"/>
      <c r="BH60" s="689"/>
      <c r="BI60" s="689"/>
      <c r="BJ60" s="689"/>
      <c r="BK60" s="689"/>
      <c r="BL60" s="689"/>
      <c r="BM60" s="689"/>
      <c r="BN60" s="689"/>
      <c r="BO60" s="690"/>
      <c r="BP60" s="689"/>
      <c r="BQ60" s="689"/>
      <c r="BR60" s="689"/>
      <c r="BS60" s="689"/>
      <c r="BT60" s="689"/>
      <c r="BU60" s="689"/>
      <c r="BV60" s="689"/>
      <c r="BW60" s="689"/>
      <c r="BX60" s="689"/>
      <c r="BY60" s="689"/>
      <c r="BZ60" s="689"/>
      <c r="CA60" s="689"/>
      <c r="CB60" s="689"/>
      <c r="CC60" s="690"/>
      <c r="CD60" s="689"/>
      <c r="CE60" s="689"/>
      <c r="CF60" s="689"/>
      <c r="CG60" s="689"/>
      <c r="CH60" s="689"/>
      <c r="CI60" s="689"/>
      <c r="CJ60" s="689"/>
      <c r="CK60" s="689"/>
      <c r="CL60" s="689"/>
      <c r="CM60" s="689"/>
      <c r="CN60" s="689"/>
      <c r="CO60" s="689"/>
      <c r="CP60" s="689"/>
      <c r="CQ60" s="691"/>
    </row>
    <row r="61" spans="1:95" s="75" customFormat="1" ht="15" customHeight="1">
      <c r="J61" s="1269"/>
      <c r="K61" s="685"/>
      <c r="L61" s="686"/>
      <c r="M61" s="686"/>
      <c r="N61" s="686"/>
      <c r="O61" s="686"/>
      <c r="P61" s="686"/>
      <c r="Q61" s="686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  <c r="AK61" s="686"/>
      <c r="AL61" s="686"/>
      <c r="AM61" s="687"/>
      <c r="AN61" s="689"/>
      <c r="AO61" s="693" t="s">
        <v>2573</v>
      </c>
      <c r="AP61" s="694"/>
      <c r="AQ61" s="694"/>
      <c r="AR61" s="694"/>
      <c r="AS61" s="694"/>
      <c r="AT61" s="694"/>
      <c r="AU61" s="694"/>
      <c r="AV61" s="689"/>
      <c r="AW61" s="689"/>
      <c r="AX61" s="1280"/>
      <c r="AY61" s="1281"/>
      <c r="AZ61" s="689"/>
      <c r="BA61" s="690"/>
      <c r="BB61" s="689"/>
      <c r="BC61" s="693" t="s">
        <v>2574</v>
      </c>
      <c r="BD61" s="694"/>
      <c r="BE61" s="694"/>
      <c r="BF61" s="694"/>
      <c r="BG61" s="694"/>
      <c r="BH61" s="694"/>
      <c r="BI61" s="694"/>
      <c r="BJ61" s="689"/>
      <c r="BK61" s="689"/>
      <c r="BL61" s="1280"/>
      <c r="BM61" s="1281"/>
      <c r="BN61" s="689"/>
      <c r="BO61" s="690"/>
      <c r="BP61" s="689"/>
      <c r="BQ61" s="693" t="s">
        <v>2574</v>
      </c>
      <c r="BR61" s="694"/>
      <c r="BS61" s="694"/>
      <c r="BT61" s="694"/>
      <c r="BU61" s="694"/>
      <c r="BV61" s="694"/>
      <c r="BW61" s="694"/>
      <c r="BX61" s="689"/>
      <c r="BY61" s="689"/>
      <c r="BZ61" s="1280"/>
      <c r="CA61" s="1281"/>
      <c r="CB61" s="689"/>
      <c r="CC61" s="690"/>
      <c r="CD61" s="689"/>
      <c r="CE61" s="693" t="s">
        <v>2574</v>
      </c>
      <c r="CF61" s="694"/>
      <c r="CG61" s="694"/>
      <c r="CH61" s="694"/>
      <c r="CI61" s="694"/>
      <c r="CJ61" s="694"/>
      <c r="CK61" s="694"/>
      <c r="CL61" s="689"/>
      <c r="CM61" s="689"/>
      <c r="CN61" s="1280"/>
      <c r="CO61" s="1281"/>
      <c r="CP61" s="689"/>
      <c r="CQ61" s="691"/>
    </row>
    <row r="62" spans="1:95" s="75" customFormat="1" ht="15" customHeight="1">
      <c r="J62" s="1269"/>
      <c r="K62" s="685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7"/>
      <c r="AN62" s="689"/>
      <c r="AO62" s="688" t="s">
        <v>2575</v>
      </c>
      <c r="AP62" s="689"/>
      <c r="AQ62" s="689"/>
      <c r="AR62" s="689"/>
      <c r="AS62" s="689"/>
      <c r="AT62" s="689"/>
      <c r="AU62" s="689"/>
      <c r="AV62" s="1247" t="str">
        <f>IF(OsnPodaci!A19="","",OsnPodaci!A19)</f>
        <v>64.30</v>
      </c>
      <c r="AW62" s="1248"/>
      <c r="AX62" s="1248"/>
      <c r="AY62" s="1249"/>
      <c r="AZ62" s="689"/>
      <c r="BA62" s="690"/>
      <c r="BB62" s="689"/>
      <c r="BC62" s="688" t="s">
        <v>2575</v>
      </c>
      <c r="BD62" s="689"/>
      <c r="BE62" s="689"/>
      <c r="BF62" s="689"/>
      <c r="BG62" s="689"/>
      <c r="BH62" s="689"/>
      <c r="BI62" s="689"/>
      <c r="BJ62" s="1256"/>
      <c r="BK62" s="1257"/>
      <c r="BL62" s="1257"/>
      <c r="BM62" s="1258"/>
      <c r="BN62" s="689"/>
      <c r="BO62" s="690"/>
      <c r="BP62" s="689"/>
      <c r="BQ62" s="688" t="s">
        <v>2575</v>
      </c>
      <c r="BR62" s="689"/>
      <c r="BS62" s="689"/>
      <c r="BT62" s="689"/>
      <c r="BU62" s="689"/>
      <c r="BV62" s="689"/>
      <c r="BW62" s="689"/>
      <c r="BX62" s="1256"/>
      <c r="BY62" s="1257"/>
      <c r="BZ62" s="1257"/>
      <c r="CA62" s="1258"/>
      <c r="CB62" s="689"/>
      <c r="CC62" s="690"/>
      <c r="CD62" s="689"/>
      <c r="CE62" s="688" t="s">
        <v>2575</v>
      </c>
      <c r="CF62" s="689"/>
      <c r="CG62" s="689"/>
      <c r="CH62" s="689"/>
      <c r="CI62" s="689"/>
      <c r="CJ62" s="689"/>
      <c r="CK62" s="689"/>
      <c r="CL62" s="1256"/>
      <c r="CM62" s="1257"/>
      <c r="CN62" s="1257"/>
      <c r="CO62" s="1258"/>
      <c r="CP62" s="689"/>
      <c r="CQ62" s="691"/>
    </row>
    <row r="63" spans="1:95" s="75" customFormat="1" ht="15" customHeight="1">
      <c r="J63" s="1269"/>
      <c r="K63" s="685"/>
      <c r="L63" s="686"/>
      <c r="M63" s="686"/>
      <c r="N63" s="686"/>
      <c r="O63" s="686"/>
      <c r="P63" s="686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686"/>
      <c r="AM63" s="687"/>
      <c r="AN63" s="689"/>
      <c r="AO63" s="695" t="s">
        <v>2576</v>
      </c>
      <c r="AP63" s="689"/>
      <c r="AQ63" s="689"/>
      <c r="AR63" s="689"/>
      <c r="AS63" s="689"/>
      <c r="AT63" s="689"/>
      <c r="AU63" s="689"/>
      <c r="AV63" s="689"/>
      <c r="AW63" s="686"/>
      <c r="AX63" s="689"/>
      <c r="AY63" s="689"/>
      <c r="AZ63" s="689"/>
      <c r="BA63" s="690"/>
      <c r="BB63" s="689"/>
      <c r="BC63" s="695" t="s">
        <v>2576</v>
      </c>
      <c r="BD63" s="689"/>
      <c r="BE63" s="689"/>
      <c r="BF63" s="689"/>
      <c r="BG63" s="689"/>
      <c r="BH63" s="689"/>
      <c r="BI63" s="689"/>
      <c r="BJ63" s="689"/>
      <c r="BK63" s="686"/>
      <c r="BL63" s="689"/>
      <c r="BM63" s="689"/>
      <c r="BN63" s="689"/>
      <c r="BO63" s="690"/>
      <c r="BP63" s="689"/>
      <c r="BQ63" s="695" t="s">
        <v>2576</v>
      </c>
      <c r="BR63" s="689"/>
      <c r="BS63" s="689"/>
      <c r="BT63" s="689"/>
      <c r="BU63" s="689"/>
      <c r="BV63" s="689"/>
      <c r="BW63" s="689"/>
      <c r="BX63" s="689"/>
      <c r="BY63" s="686"/>
      <c r="BZ63" s="689"/>
      <c r="CA63" s="689"/>
      <c r="CB63" s="689"/>
      <c r="CC63" s="690"/>
      <c r="CD63" s="689"/>
      <c r="CE63" s="695" t="s">
        <v>2576</v>
      </c>
      <c r="CF63" s="689"/>
      <c r="CG63" s="689"/>
      <c r="CH63" s="689"/>
      <c r="CI63" s="689"/>
      <c r="CJ63" s="689"/>
      <c r="CK63" s="689"/>
      <c r="CL63" s="689"/>
      <c r="CM63" s="686"/>
      <c r="CN63" s="689"/>
      <c r="CO63" s="689"/>
      <c r="CP63" s="689"/>
      <c r="CQ63" s="691"/>
    </row>
    <row r="64" spans="1:95" s="75" customFormat="1" ht="15" customHeight="1">
      <c r="J64" s="1269"/>
      <c r="K64" s="685"/>
      <c r="L64" s="686"/>
      <c r="M64" s="686"/>
      <c r="N64" s="686"/>
      <c r="O64" s="686"/>
      <c r="P64" s="686"/>
      <c r="Q64" s="686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7"/>
      <c r="AN64" s="689"/>
      <c r="AO64" s="1250" t="s">
        <v>2577</v>
      </c>
      <c r="AP64" s="1251"/>
      <c r="AQ64" s="686"/>
      <c r="AR64" s="689"/>
      <c r="AS64" s="689"/>
      <c r="AT64" s="689"/>
      <c r="AU64" s="689"/>
      <c r="AV64" s="1247">
        <f>IF(ISERROR(VLOOKUP($AR$58,'#Konverter'!$A$2:$D$80,3,FALSE)),"",VLOOKUP($AR$58,'#Konverter'!$A$2:$C$80,3,FALSE))</f>
        <v>10871</v>
      </c>
      <c r="AW64" s="1248"/>
      <c r="AX64" s="1248"/>
      <c r="AY64" s="1248"/>
      <c r="AZ64" s="1249"/>
      <c r="BA64" s="690"/>
      <c r="BB64" s="689"/>
      <c r="BC64" s="1250"/>
      <c r="BD64" s="1251"/>
      <c r="BE64" s="686"/>
      <c r="BF64" s="689"/>
      <c r="BG64" s="689"/>
      <c r="BH64" s="689"/>
      <c r="BI64" s="689"/>
      <c r="BJ64" s="1252"/>
      <c r="BK64" s="1253"/>
      <c r="BL64" s="1253"/>
      <c r="BM64" s="1253"/>
      <c r="BN64" s="1254"/>
      <c r="BO64" s="690"/>
      <c r="BP64" s="689"/>
      <c r="BQ64" s="1250"/>
      <c r="BR64" s="1251"/>
      <c r="BS64" s="686"/>
      <c r="BT64" s="689"/>
      <c r="BU64" s="689"/>
      <c r="BV64" s="689"/>
      <c r="BW64" s="689"/>
      <c r="BX64" s="1252"/>
      <c r="BY64" s="1253"/>
      <c r="BZ64" s="1253"/>
      <c r="CA64" s="1253"/>
      <c r="CB64" s="1254"/>
      <c r="CC64" s="690"/>
      <c r="CD64" s="689"/>
      <c r="CE64" s="1250"/>
      <c r="CF64" s="1251"/>
      <c r="CG64" s="686"/>
      <c r="CH64" s="689"/>
      <c r="CI64" s="689"/>
      <c r="CJ64" s="689"/>
      <c r="CK64" s="689"/>
      <c r="CL64" s="1252"/>
      <c r="CM64" s="1253"/>
      <c r="CN64" s="1253"/>
      <c r="CO64" s="1253"/>
      <c r="CP64" s="1254"/>
      <c r="CQ64" s="691"/>
    </row>
    <row r="65" spans="1:95" s="75" customFormat="1" ht="15" customHeight="1">
      <c r="J65" s="1269"/>
      <c r="K65" s="696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8"/>
      <c r="AN65" s="697"/>
      <c r="AO65" s="699" t="s">
        <v>2571</v>
      </c>
      <c r="AP65" s="700"/>
      <c r="AQ65" s="700"/>
      <c r="AR65" s="700"/>
      <c r="AS65" s="700"/>
      <c r="AT65" s="700"/>
      <c r="AU65" s="700"/>
      <c r="AV65" s="701" t="s">
        <v>2578</v>
      </c>
      <c r="AW65" s="697"/>
      <c r="AX65" s="697"/>
      <c r="AY65" s="697"/>
      <c r="AZ65" s="697"/>
      <c r="BA65" s="702"/>
      <c r="BB65" s="697"/>
      <c r="BC65" s="699" t="s">
        <v>2571</v>
      </c>
      <c r="BD65" s="700"/>
      <c r="BE65" s="700"/>
      <c r="BF65" s="700"/>
      <c r="BG65" s="700"/>
      <c r="BH65" s="700"/>
      <c r="BI65" s="700"/>
      <c r="BJ65" s="701" t="s">
        <v>2578</v>
      </c>
      <c r="BK65" s="697"/>
      <c r="BL65" s="697"/>
      <c r="BM65" s="697"/>
      <c r="BN65" s="697"/>
      <c r="BO65" s="702"/>
      <c r="BP65" s="697"/>
      <c r="BQ65" s="699" t="s">
        <v>2571</v>
      </c>
      <c r="BR65" s="700"/>
      <c r="BS65" s="700"/>
      <c r="BT65" s="700"/>
      <c r="BU65" s="700"/>
      <c r="BV65" s="700"/>
      <c r="BW65" s="700"/>
      <c r="BX65" s="701" t="s">
        <v>2578</v>
      </c>
      <c r="BY65" s="697"/>
      <c r="BZ65" s="697"/>
      <c r="CA65" s="697"/>
      <c r="CB65" s="697"/>
      <c r="CC65" s="702"/>
      <c r="CD65" s="697"/>
      <c r="CE65" s="699" t="s">
        <v>2571</v>
      </c>
      <c r="CF65" s="700"/>
      <c r="CG65" s="700"/>
      <c r="CH65" s="700"/>
      <c r="CI65" s="700"/>
      <c r="CJ65" s="700"/>
      <c r="CK65" s="700"/>
      <c r="CL65" s="701" t="s">
        <v>2578</v>
      </c>
      <c r="CM65" s="697"/>
      <c r="CN65" s="697"/>
      <c r="CO65" s="697"/>
      <c r="CP65" s="697"/>
      <c r="CQ65" s="691"/>
    </row>
    <row r="66" spans="1:95" s="76" customFormat="1" ht="15" customHeight="1">
      <c r="J66" s="703" t="s">
        <v>2480</v>
      </c>
      <c r="K66" s="1224">
        <v>2</v>
      </c>
      <c r="L66" s="1225"/>
      <c r="M66" s="1225"/>
      <c r="N66" s="1225"/>
      <c r="O66" s="1225"/>
      <c r="P66" s="1225"/>
      <c r="Q66" s="1225"/>
      <c r="R66" s="1225"/>
      <c r="S66" s="1225"/>
      <c r="T66" s="1225"/>
      <c r="U66" s="1225"/>
      <c r="V66" s="1225"/>
      <c r="W66" s="1225"/>
      <c r="X66" s="1225"/>
      <c r="Y66" s="1225"/>
      <c r="Z66" s="1225"/>
      <c r="AA66" s="1225"/>
      <c r="AB66" s="1225"/>
      <c r="AC66" s="1225"/>
      <c r="AD66" s="1225"/>
      <c r="AE66" s="1225"/>
      <c r="AF66" s="1225"/>
      <c r="AG66" s="1225"/>
      <c r="AH66" s="1225"/>
      <c r="AI66" s="1225"/>
      <c r="AJ66" s="1225"/>
      <c r="AK66" s="1225"/>
      <c r="AL66" s="1225"/>
      <c r="AM66" s="1226"/>
      <c r="AN66" s="1244">
        <v>3</v>
      </c>
      <c r="AO66" s="1245"/>
      <c r="AP66" s="1245"/>
      <c r="AQ66" s="1245"/>
      <c r="AR66" s="1245"/>
      <c r="AS66" s="1245"/>
      <c r="AT66" s="1245"/>
      <c r="AU66" s="1245"/>
      <c r="AV66" s="1245"/>
      <c r="AW66" s="1245"/>
      <c r="AX66" s="1245"/>
      <c r="AY66" s="1245"/>
      <c r="AZ66" s="1245"/>
      <c r="BA66" s="1255"/>
      <c r="BB66" s="1244">
        <v>4</v>
      </c>
      <c r="BC66" s="1245"/>
      <c r="BD66" s="1245"/>
      <c r="BE66" s="1245"/>
      <c r="BF66" s="1245"/>
      <c r="BG66" s="1245"/>
      <c r="BH66" s="1245"/>
      <c r="BI66" s="1245"/>
      <c r="BJ66" s="1245"/>
      <c r="BK66" s="1245"/>
      <c r="BL66" s="1245"/>
      <c r="BM66" s="1245"/>
      <c r="BN66" s="1245"/>
      <c r="BO66" s="1255"/>
      <c r="BP66" s="1244">
        <v>5</v>
      </c>
      <c r="BQ66" s="1245"/>
      <c r="BR66" s="1245"/>
      <c r="BS66" s="1245"/>
      <c r="BT66" s="1245"/>
      <c r="BU66" s="1245"/>
      <c r="BV66" s="1245"/>
      <c r="BW66" s="1245"/>
      <c r="BX66" s="1245"/>
      <c r="BY66" s="1245"/>
      <c r="BZ66" s="1245"/>
      <c r="CA66" s="1245"/>
      <c r="CB66" s="1245"/>
      <c r="CC66" s="1255"/>
      <c r="CD66" s="1244">
        <v>6</v>
      </c>
      <c r="CE66" s="1245"/>
      <c r="CF66" s="1245"/>
      <c r="CG66" s="1245"/>
      <c r="CH66" s="1245"/>
      <c r="CI66" s="1245"/>
      <c r="CJ66" s="1245"/>
      <c r="CK66" s="1245"/>
      <c r="CL66" s="1245"/>
      <c r="CM66" s="1245"/>
      <c r="CN66" s="1245"/>
      <c r="CO66" s="1245"/>
      <c r="CP66" s="1245"/>
      <c r="CQ66" s="1246"/>
    </row>
    <row r="67" spans="1:95" s="75" customFormat="1" ht="27" customHeight="1">
      <c r="A67" s="75">
        <v>1.6200000000000006</v>
      </c>
      <c r="B67" s="75">
        <v>1.7500000000000007</v>
      </c>
      <c r="C67" s="75">
        <v>1.8800000000000008</v>
      </c>
      <c r="D67" s="75">
        <v>2.0100000000000007</v>
      </c>
      <c r="E67" s="75" t="str">
        <f>IF(LEN(AP67)=0,"",1+ABS((AP67*A67)/LEN(AP67))+A67)</f>
        <v/>
      </c>
      <c r="F67" s="75" t="str">
        <f>IF(LEN(BD67)=0,"",1+ABS((BD67*B67)/LEN(BD67))+B67)</f>
        <v/>
      </c>
      <c r="G67" s="75" t="str">
        <f>IF(LEN(BR67)=0,"",1+ABS((BR67*C67)/LEN(BR67))+C67)</f>
        <v/>
      </c>
      <c r="H67" s="75" t="str">
        <f>IF(LEN(CF67)=0,"",1+ABS((CF67*D67)/LEN(CF67))+D67)</f>
        <v/>
      </c>
      <c r="J67" s="704" t="s">
        <v>2579</v>
      </c>
      <c r="K67" s="1227" t="s">
        <v>2580</v>
      </c>
      <c r="L67" s="1228"/>
      <c r="M67" s="1228"/>
      <c r="N67" s="1228"/>
      <c r="O67" s="1228"/>
      <c r="P67" s="1228"/>
      <c r="Q67" s="1228"/>
      <c r="R67" s="1228"/>
      <c r="S67" s="1228"/>
      <c r="T67" s="1229"/>
      <c r="U67" s="705" t="s">
        <v>2581</v>
      </c>
      <c r="V67" s="705"/>
      <c r="W67" s="705"/>
      <c r="X67" s="705"/>
      <c r="Y67" s="705"/>
      <c r="Z67" s="705"/>
      <c r="AA67" s="705"/>
      <c r="AB67" s="705"/>
      <c r="AC67" s="705"/>
      <c r="AD67" s="705"/>
      <c r="AE67" s="705"/>
      <c r="AF67" s="705"/>
      <c r="AG67" s="705"/>
      <c r="AH67" s="705"/>
      <c r="AI67" s="705"/>
      <c r="AJ67" s="705"/>
      <c r="AK67" s="705"/>
      <c r="AL67" s="705"/>
      <c r="AM67" s="705"/>
      <c r="AN67" s="1215" t="s">
        <v>2577</v>
      </c>
      <c r="AO67" s="1216"/>
      <c r="AP67" s="1191"/>
      <c r="AQ67" s="1191"/>
      <c r="AR67" s="1191"/>
      <c r="AS67" s="1191"/>
      <c r="AT67" s="1191"/>
      <c r="AU67" s="1191"/>
      <c r="AV67" s="1191"/>
      <c r="AW67" s="1191"/>
      <c r="AX67" s="1191"/>
      <c r="AY67" s="1191"/>
      <c r="AZ67" s="1191"/>
      <c r="BA67" s="1192"/>
      <c r="BB67" s="1215" t="s">
        <v>2582</v>
      </c>
      <c r="BC67" s="1216"/>
      <c r="BD67" s="1191"/>
      <c r="BE67" s="1191"/>
      <c r="BF67" s="1191"/>
      <c r="BG67" s="1191"/>
      <c r="BH67" s="1191"/>
      <c r="BI67" s="1191"/>
      <c r="BJ67" s="1191"/>
      <c r="BK67" s="1191"/>
      <c r="BL67" s="1191"/>
      <c r="BM67" s="1191"/>
      <c r="BN67" s="1191"/>
      <c r="BO67" s="1192"/>
      <c r="BP67" s="1215" t="s">
        <v>2582</v>
      </c>
      <c r="BQ67" s="1216"/>
      <c r="BR67" s="1191"/>
      <c r="BS67" s="1191"/>
      <c r="BT67" s="1191"/>
      <c r="BU67" s="1191"/>
      <c r="BV67" s="1191"/>
      <c r="BW67" s="1191"/>
      <c r="BX67" s="1191"/>
      <c r="BY67" s="1191"/>
      <c r="BZ67" s="1191"/>
      <c r="CA67" s="1191"/>
      <c r="CB67" s="1191"/>
      <c r="CC67" s="1192"/>
      <c r="CD67" s="1215" t="s">
        <v>2582</v>
      </c>
      <c r="CE67" s="1216"/>
      <c r="CF67" s="1191"/>
      <c r="CG67" s="1191"/>
      <c r="CH67" s="1191"/>
      <c r="CI67" s="1191"/>
      <c r="CJ67" s="1191"/>
      <c r="CK67" s="1191"/>
      <c r="CL67" s="1191"/>
      <c r="CM67" s="1191"/>
      <c r="CN67" s="1191"/>
      <c r="CO67" s="1191"/>
      <c r="CP67" s="1191"/>
      <c r="CQ67" s="1195"/>
    </row>
    <row r="68" spans="1:95" s="72" customFormat="1" ht="27" customHeight="1">
      <c r="A68" s="72">
        <v>1.6300000000000006</v>
      </c>
      <c r="B68" s="72">
        <v>1.7600000000000007</v>
      </c>
      <c r="C68" s="72">
        <v>1.8900000000000008</v>
      </c>
      <c r="D68" s="72">
        <v>2.0200000000000005</v>
      </c>
      <c r="E68" s="72" t="str">
        <f>IF(LEN(AP68)=0,"",1+ABS((AP68*A68)/LEN(AP68))+A68)</f>
        <v/>
      </c>
      <c r="F68" s="72" t="str">
        <f>IF(LEN(BD68)=0,"",1+ABS((BD68*B68)/LEN(BD68))+B68)</f>
        <v/>
      </c>
      <c r="G68" s="72" t="str">
        <f>IF(LEN(BR68)=0,"",1+ABS((BR68*C68)/LEN(BR68))+C68)</f>
        <v/>
      </c>
      <c r="H68" s="72" t="str">
        <f>IF(LEN(CF68)=0,"",1+ABS((CF68*D68)/LEN(CF68))+D68)</f>
        <v/>
      </c>
      <c r="J68" s="706" t="s">
        <v>2583</v>
      </c>
      <c r="K68" s="1218" t="str">
        <f>IF(OsnPodaci!A58="","Unijeti interval izvještavanja.","u "&amp;TEXT(OsnPodaci!A58,"yyyy")&amp;". god. po karakteru izgradnje
 (Tabela 3., Kolona 4.)")</f>
        <v>u 2022. god. po karakteru izgradnje
 (Tabela 3., Kolona 4.)</v>
      </c>
      <c r="L68" s="1219"/>
      <c r="M68" s="1219"/>
      <c r="N68" s="1219"/>
      <c r="O68" s="1219"/>
      <c r="P68" s="1219"/>
      <c r="Q68" s="1219"/>
      <c r="R68" s="1219"/>
      <c r="S68" s="1219"/>
      <c r="T68" s="1220"/>
      <c r="U68" s="707" t="s">
        <v>2584</v>
      </c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  <c r="AN68" s="1193"/>
      <c r="AO68" s="1194"/>
      <c r="AP68" s="1190"/>
      <c r="AQ68" s="1191"/>
      <c r="AR68" s="1191"/>
      <c r="AS68" s="1191"/>
      <c r="AT68" s="1191"/>
      <c r="AU68" s="1191"/>
      <c r="AV68" s="1191"/>
      <c r="AW68" s="1191"/>
      <c r="AX68" s="1191"/>
      <c r="AY68" s="1191"/>
      <c r="AZ68" s="1191"/>
      <c r="BA68" s="1192"/>
      <c r="BB68" s="1193"/>
      <c r="BC68" s="1194"/>
      <c r="BD68" s="1190"/>
      <c r="BE68" s="1191"/>
      <c r="BF68" s="1191"/>
      <c r="BG68" s="1191"/>
      <c r="BH68" s="1191"/>
      <c r="BI68" s="1191"/>
      <c r="BJ68" s="1191"/>
      <c r="BK68" s="1191"/>
      <c r="BL68" s="1191"/>
      <c r="BM68" s="1191"/>
      <c r="BN68" s="1191"/>
      <c r="BO68" s="1191"/>
      <c r="BP68" s="1193"/>
      <c r="BQ68" s="1194"/>
      <c r="BR68" s="1190"/>
      <c r="BS68" s="1191"/>
      <c r="BT68" s="1191"/>
      <c r="BU68" s="1191"/>
      <c r="BV68" s="1191"/>
      <c r="BW68" s="1191"/>
      <c r="BX68" s="1191"/>
      <c r="BY68" s="1191"/>
      <c r="BZ68" s="1191"/>
      <c r="CA68" s="1191"/>
      <c r="CB68" s="1191"/>
      <c r="CC68" s="1191"/>
      <c r="CD68" s="1193"/>
      <c r="CE68" s="1194"/>
      <c r="CF68" s="1190"/>
      <c r="CG68" s="1191"/>
      <c r="CH68" s="1191"/>
      <c r="CI68" s="1191"/>
      <c r="CJ68" s="1191"/>
      <c r="CK68" s="1191"/>
      <c r="CL68" s="1191"/>
      <c r="CM68" s="1191"/>
      <c r="CN68" s="1191"/>
      <c r="CO68" s="1191"/>
      <c r="CP68" s="1191"/>
      <c r="CQ68" s="1195"/>
    </row>
    <row r="69" spans="1:95" s="72" customFormat="1" ht="27" customHeight="1">
      <c r="A69" s="72">
        <v>1.6400000000000006</v>
      </c>
      <c r="B69" s="72">
        <v>1.7700000000000007</v>
      </c>
      <c r="C69" s="72">
        <v>1.9000000000000008</v>
      </c>
      <c r="D69" s="72">
        <v>2.0300000000000002</v>
      </c>
      <c r="E69" s="72" t="str">
        <f>IF(LEN(AP69)=0,"",1+ABS((AP69*A69)/LEN(AP69))+A69)</f>
        <v/>
      </c>
      <c r="F69" s="72" t="str">
        <f>IF(LEN(BD69)=0,"",1+ABS((BD69*B69)/LEN(BD69))+B69)</f>
        <v/>
      </c>
      <c r="G69" s="72" t="str">
        <f>IF(LEN(BR69)=0,"",1+ABS((BR69*C69)/LEN(BR69))+C69)</f>
        <v/>
      </c>
      <c r="H69" s="72" t="str">
        <f>IF(LEN(CF69)=0,"",1+ABS((CF69*D69)/LEN(CF69))+D69)</f>
        <v/>
      </c>
      <c r="J69" s="706" t="s">
        <v>2585</v>
      </c>
      <c r="K69" s="1221"/>
      <c r="L69" s="1222"/>
      <c r="M69" s="1222"/>
      <c r="N69" s="1222"/>
      <c r="O69" s="1222"/>
      <c r="P69" s="1222"/>
      <c r="Q69" s="1222"/>
      <c r="R69" s="1222"/>
      <c r="S69" s="1222"/>
      <c r="T69" s="1223"/>
      <c r="U69" s="708" t="s">
        <v>2586</v>
      </c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  <c r="AN69" s="1193"/>
      <c r="AO69" s="1194"/>
      <c r="AP69" s="1191"/>
      <c r="AQ69" s="1191"/>
      <c r="AR69" s="1191"/>
      <c r="AS69" s="1191"/>
      <c r="AT69" s="1191"/>
      <c r="AU69" s="1191"/>
      <c r="AV69" s="1191"/>
      <c r="AW69" s="1191"/>
      <c r="AX69" s="1191"/>
      <c r="AY69" s="1191"/>
      <c r="AZ69" s="1191"/>
      <c r="BA69" s="1192"/>
      <c r="BB69" s="1193"/>
      <c r="BC69" s="1194"/>
      <c r="BD69" s="1191"/>
      <c r="BE69" s="1191"/>
      <c r="BF69" s="1191"/>
      <c r="BG69" s="1191"/>
      <c r="BH69" s="1191"/>
      <c r="BI69" s="1191"/>
      <c r="BJ69" s="1191"/>
      <c r="BK69" s="1191"/>
      <c r="BL69" s="1191"/>
      <c r="BM69" s="1191"/>
      <c r="BN69" s="1191"/>
      <c r="BO69" s="1192"/>
      <c r="BP69" s="1193"/>
      <c r="BQ69" s="1194"/>
      <c r="BR69" s="1191"/>
      <c r="BS69" s="1191"/>
      <c r="BT69" s="1191"/>
      <c r="BU69" s="1191"/>
      <c r="BV69" s="1191"/>
      <c r="BW69" s="1191"/>
      <c r="BX69" s="1191"/>
      <c r="BY69" s="1191"/>
      <c r="BZ69" s="1191"/>
      <c r="CA69" s="1191"/>
      <c r="CB69" s="1191"/>
      <c r="CC69" s="1192"/>
      <c r="CD69" s="1193"/>
      <c r="CE69" s="1194"/>
      <c r="CF69" s="1191"/>
      <c r="CG69" s="1191"/>
      <c r="CH69" s="1191"/>
      <c r="CI69" s="1191"/>
      <c r="CJ69" s="1191"/>
      <c r="CK69" s="1191"/>
      <c r="CL69" s="1191"/>
      <c r="CM69" s="1191"/>
      <c r="CN69" s="1191"/>
      <c r="CO69" s="1191"/>
      <c r="CP69" s="1191"/>
      <c r="CQ69" s="1195"/>
    </row>
    <row r="70" spans="1:95" s="72" customFormat="1" ht="27" customHeight="1">
      <c r="A70" s="72">
        <v>1.6500000000000006</v>
      </c>
      <c r="B70" s="72">
        <v>1.7800000000000007</v>
      </c>
      <c r="C70" s="72">
        <v>1.9100000000000008</v>
      </c>
      <c r="D70" s="72">
        <v>2.04</v>
      </c>
      <c r="E70" s="72" t="str">
        <f>IF(LEN(AP70)=0,"",1+ABS((AP70*A70)/LEN(AP70))+A70)</f>
        <v/>
      </c>
      <c r="F70" s="72" t="str">
        <f>IF(LEN(BD70)=0,"",1+ABS((BD70*B70)/LEN(BD70))+B70)</f>
        <v/>
      </c>
      <c r="G70" s="72" t="str">
        <f>IF(LEN(BR70)=0,"",1+ABS((BR70*C70)/LEN(BR70))+C70)</f>
        <v/>
      </c>
      <c r="H70" s="72" t="str">
        <f>IF(LEN(CF70)=0,"",1+ABS((CF70*D70)/LEN(CF70))+D70)</f>
        <v/>
      </c>
      <c r="J70" s="706" t="s">
        <v>2587</v>
      </c>
      <c r="K70" s="709" t="s">
        <v>2588</v>
      </c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10"/>
      <c r="AG70" s="710"/>
      <c r="AH70" s="710"/>
      <c r="AI70" s="710"/>
      <c r="AJ70" s="710"/>
      <c r="AK70" s="710"/>
      <c r="AL70" s="710"/>
      <c r="AM70" s="710"/>
      <c r="AN70" s="1193"/>
      <c r="AO70" s="1194"/>
      <c r="AP70" s="1190"/>
      <c r="AQ70" s="1191"/>
      <c r="AR70" s="1191"/>
      <c r="AS70" s="1191"/>
      <c r="AT70" s="1191"/>
      <c r="AU70" s="1191"/>
      <c r="AV70" s="1191"/>
      <c r="AW70" s="1191"/>
      <c r="AX70" s="1191"/>
      <c r="AY70" s="1191"/>
      <c r="AZ70" s="1191"/>
      <c r="BA70" s="1192"/>
      <c r="BB70" s="1193"/>
      <c r="BC70" s="1194"/>
      <c r="BD70" s="1190"/>
      <c r="BE70" s="1191"/>
      <c r="BF70" s="1191"/>
      <c r="BG70" s="1191"/>
      <c r="BH70" s="1191"/>
      <c r="BI70" s="1191"/>
      <c r="BJ70" s="1191"/>
      <c r="BK70" s="1191"/>
      <c r="BL70" s="1191"/>
      <c r="BM70" s="1191"/>
      <c r="BN70" s="1191"/>
      <c r="BO70" s="1191"/>
      <c r="BP70" s="1193"/>
      <c r="BQ70" s="1194"/>
      <c r="BR70" s="1190"/>
      <c r="BS70" s="1191"/>
      <c r="BT70" s="1191"/>
      <c r="BU70" s="1191"/>
      <c r="BV70" s="1191"/>
      <c r="BW70" s="1191"/>
      <c r="BX70" s="1191"/>
      <c r="BY70" s="1191"/>
      <c r="BZ70" s="1191"/>
      <c r="CA70" s="1191"/>
      <c r="CB70" s="1191"/>
      <c r="CC70" s="1191"/>
      <c r="CD70" s="1193"/>
      <c r="CE70" s="1194"/>
      <c r="CF70" s="1190"/>
      <c r="CG70" s="1191"/>
      <c r="CH70" s="1191"/>
      <c r="CI70" s="1191"/>
      <c r="CJ70" s="1191"/>
      <c r="CK70" s="1191"/>
      <c r="CL70" s="1191"/>
      <c r="CM70" s="1191"/>
      <c r="CN70" s="1191"/>
      <c r="CO70" s="1191"/>
      <c r="CP70" s="1191"/>
      <c r="CQ70" s="1195"/>
    </row>
    <row r="71" spans="1:95" s="72" customFormat="1" ht="27" customHeight="1">
      <c r="A71" s="72">
        <v>1.6600000000000006</v>
      </c>
      <c r="B71" s="72">
        <v>1.7900000000000007</v>
      </c>
      <c r="C71" s="72">
        <v>1.9200000000000008</v>
      </c>
      <c r="D71" s="72">
        <v>2.0499999999999998</v>
      </c>
      <c r="E71" s="72" t="str">
        <f>IF(LEN(AP71)=0,"",1+ABS((AP71*A71)/LEN(AP71))+A71)</f>
        <v/>
      </c>
      <c r="F71" s="72" t="str">
        <f>IF(LEN(BD71)=0,"",1+ABS((BD71*B71)/LEN(BD71))+B71)</f>
        <v/>
      </c>
      <c r="G71" s="72" t="str">
        <f>IF(LEN(BR71)=0,"",1+ABS((BR71*C71)/LEN(BR71))+C71)</f>
        <v/>
      </c>
      <c r="H71" s="72" t="str">
        <f>IF(LEN(CF71)=0,"",1+ABS((CF71*D71)/LEN(CF71))+D71)</f>
        <v/>
      </c>
      <c r="J71" s="706" t="s">
        <v>2589</v>
      </c>
      <c r="K71" s="1211" t="str">
        <f>IF(OsnPodaci!A58="","Unijeti interval izvještavanja.","Ostvarene investicije u nova stalna sredstva u "&amp;TEXT(OsnPodaci!A58,"yyyy")&amp;". godini,                                     
  (4.11 do 4.13)=(4.14 do 4.19)=(Tabela 3.,Red. br. 3.,Kolona 4.)")</f>
        <v>Ostvarene investicije u nova stalna sredstva u 2022. godini,                                     
  (4.11 do 4.13)=(4.14 do 4.19)=(Tabela 3.,Red. br. 3.,Kolona 4.)</v>
      </c>
      <c r="L71" s="1212"/>
      <c r="M71" s="1212"/>
      <c r="N71" s="1212"/>
      <c r="O71" s="1212"/>
      <c r="P71" s="1212"/>
      <c r="Q71" s="1212"/>
      <c r="R71" s="1212"/>
      <c r="S71" s="1212"/>
      <c r="T71" s="1212"/>
      <c r="U71" s="1212"/>
      <c r="V71" s="1212"/>
      <c r="W71" s="1212"/>
      <c r="X71" s="1212"/>
      <c r="Y71" s="1212"/>
      <c r="Z71" s="1212"/>
      <c r="AA71" s="1212"/>
      <c r="AB71" s="1212"/>
      <c r="AC71" s="1212"/>
      <c r="AD71" s="1212"/>
      <c r="AE71" s="1212"/>
      <c r="AF71" s="1212"/>
      <c r="AG71" s="1212"/>
      <c r="AH71" s="1212"/>
      <c r="AI71" s="1212"/>
      <c r="AJ71" s="1212"/>
      <c r="AK71" s="1212"/>
      <c r="AL71" s="1212"/>
      <c r="AM71" s="1212"/>
      <c r="AN71" s="1193"/>
      <c r="AO71" s="1194"/>
      <c r="AP71" s="1213" t="str">
        <f>IFERROR(IF(AND(AP67:BA69)="","",SUM(AP67:BA69)),"")</f>
        <v/>
      </c>
      <c r="AQ71" s="1213"/>
      <c r="AR71" s="1213"/>
      <c r="AS71" s="1213"/>
      <c r="AT71" s="1213"/>
      <c r="AU71" s="1213"/>
      <c r="AV71" s="1213"/>
      <c r="AW71" s="1213"/>
      <c r="AX71" s="1213"/>
      <c r="AY71" s="1213"/>
      <c r="AZ71" s="1213"/>
      <c r="BA71" s="1214"/>
      <c r="BB71" s="1193"/>
      <c r="BC71" s="1194"/>
      <c r="BD71" s="1213" t="str">
        <f>IFERROR(IF(AND(BD67:BO69)="","",SUM(BD67:BO69)),"")</f>
        <v/>
      </c>
      <c r="BE71" s="1213"/>
      <c r="BF71" s="1213"/>
      <c r="BG71" s="1213"/>
      <c r="BH71" s="1213"/>
      <c r="BI71" s="1213"/>
      <c r="BJ71" s="1213"/>
      <c r="BK71" s="1213"/>
      <c r="BL71" s="1213"/>
      <c r="BM71" s="1213"/>
      <c r="BN71" s="1213"/>
      <c r="BO71" s="1214"/>
      <c r="BP71" s="1193"/>
      <c r="BQ71" s="1194"/>
      <c r="BR71" s="1213" t="str">
        <f>IFERROR(IF(AND(BR67:CC69)="","",SUM(BR67:CC69)),"")</f>
        <v/>
      </c>
      <c r="BS71" s="1213"/>
      <c r="BT71" s="1213"/>
      <c r="BU71" s="1213"/>
      <c r="BV71" s="1213"/>
      <c r="BW71" s="1213"/>
      <c r="BX71" s="1213"/>
      <c r="BY71" s="1213"/>
      <c r="BZ71" s="1213"/>
      <c r="CA71" s="1213"/>
      <c r="CB71" s="1213"/>
      <c r="CC71" s="1214"/>
      <c r="CD71" s="1193"/>
      <c r="CE71" s="1194"/>
      <c r="CF71" s="1213" t="str">
        <f>IFERROR(IF(AND(CF67:CQ69)="","",SUM(CF67:CQ69)),"")</f>
        <v/>
      </c>
      <c r="CG71" s="1213"/>
      <c r="CH71" s="1213"/>
      <c r="CI71" s="1213"/>
      <c r="CJ71" s="1213"/>
      <c r="CK71" s="1213"/>
      <c r="CL71" s="1213"/>
      <c r="CM71" s="1213"/>
      <c r="CN71" s="1213"/>
      <c r="CO71" s="1213"/>
      <c r="CP71" s="1213"/>
      <c r="CQ71" s="1217"/>
    </row>
    <row r="72" spans="1:95" s="72" customFormat="1" ht="5.25" customHeight="1">
      <c r="E72" s="72" t="str">
        <f>IF(LEN(AP72)=0,"",ABS((AP72*A72)/LEN(AP72))+A72)</f>
        <v/>
      </c>
      <c r="F72" s="72" t="str">
        <f>IF(LEN(BD72)=0,"",ABS((BD72*B72)/LEN(BD72))+B72)</f>
        <v/>
      </c>
      <c r="G72" s="72" t="str">
        <f>IF(LEN(BR72)=0,"",ABS((BR72*C72)/LEN(BR72))+C72)</f>
        <v/>
      </c>
      <c r="H72" s="72" t="str">
        <f>IF(LEN(BR72)=0,"",ABS((BR72*D72)/LEN(BR72))+D72)</f>
        <v/>
      </c>
      <c r="J72" s="706"/>
      <c r="K72" s="711"/>
      <c r="L72" s="711"/>
      <c r="M72" s="711"/>
      <c r="N72" s="711"/>
      <c r="O72" s="711"/>
      <c r="P72" s="711"/>
      <c r="Q72" s="711"/>
      <c r="R72" s="711"/>
      <c r="S72" s="711"/>
      <c r="T72" s="711"/>
      <c r="U72" s="711"/>
      <c r="V72" s="711"/>
      <c r="W72" s="711"/>
      <c r="X72" s="711"/>
      <c r="Y72" s="711"/>
      <c r="Z72" s="711"/>
      <c r="AA72" s="711"/>
      <c r="AB72" s="711"/>
      <c r="AC72" s="711"/>
      <c r="AD72" s="711"/>
      <c r="AE72" s="711"/>
      <c r="AF72" s="711"/>
      <c r="AG72" s="711"/>
      <c r="AH72" s="711"/>
      <c r="AI72" s="711"/>
      <c r="AJ72" s="711"/>
      <c r="AK72" s="711"/>
      <c r="AL72" s="711"/>
      <c r="AM72" s="711"/>
      <c r="AN72" s="1200"/>
      <c r="AO72" s="1200"/>
      <c r="AP72" s="713"/>
      <c r="AQ72" s="713"/>
      <c r="AR72" s="713"/>
      <c r="AS72" s="713"/>
      <c r="AT72" s="713"/>
      <c r="AU72" s="713"/>
      <c r="AV72" s="713"/>
      <c r="AW72" s="713"/>
      <c r="AX72" s="713"/>
      <c r="AY72" s="713"/>
      <c r="AZ72" s="713"/>
      <c r="BA72" s="713"/>
      <c r="BB72" s="1200"/>
      <c r="BC72" s="1200"/>
      <c r="BD72" s="713"/>
      <c r="BE72" s="713"/>
      <c r="BF72" s="713"/>
      <c r="BG72" s="713"/>
      <c r="BH72" s="713"/>
      <c r="BI72" s="713"/>
      <c r="BJ72" s="713"/>
      <c r="BK72" s="713"/>
      <c r="BL72" s="713"/>
      <c r="BM72" s="713"/>
      <c r="BN72" s="713"/>
      <c r="BO72" s="713"/>
      <c r="BP72" s="1200"/>
      <c r="BQ72" s="1200"/>
      <c r="BR72" s="713"/>
      <c r="BS72" s="713"/>
      <c r="BT72" s="713"/>
      <c r="BU72" s="713"/>
      <c r="BV72" s="713"/>
      <c r="BW72" s="713"/>
      <c r="BX72" s="713"/>
      <c r="BY72" s="713"/>
      <c r="BZ72" s="713"/>
      <c r="CA72" s="713"/>
      <c r="CB72" s="713"/>
      <c r="CC72" s="713"/>
      <c r="CD72" s="1200"/>
      <c r="CE72" s="1200"/>
      <c r="CF72" s="713"/>
      <c r="CG72" s="713"/>
      <c r="CH72" s="713"/>
      <c r="CI72" s="713"/>
      <c r="CJ72" s="713"/>
      <c r="CK72" s="713"/>
      <c r="CL72" s="713"/>
      <c r="CM72" s="713"/>
      <c r="CN72" s="713"/>
      <c r="CO72" s="713"/>
      <c r="CP72" s="713"/>
      <c r="CQ72" s="714"/>
    </row>
    <row r="73" spans="1:95" s="72" customFormat="1" ht="27" customHeight="1">
      <c r="A73" s="72">
        <v>1.6700000000000006</v>
      </c>
      <c r="B73" s="72">
        <v>1.8000000000000007</v>
      </c>
      <c r="C73" s="72">
        <v>1.9300000000000008</v>
      </c>
      <c r="D73" s="72">
        <v>2.0599999999999996</v>
      </c>
      <c r="E73" s="72" t="str">
        <f t="shared" ref="E73:E78" si="12">IF(LEN(AP73)=0,"",1+ABS((AP73*A73)/LEN(AP73))+A73)</f>
        <v/>
      </c>
      <c r="F73" s="72" t="str">
        <f t="shared" ref="F73:F78" si="13">IF(LEN(BD73)=0,"",1+ABS((BD73*B73)/LEN(BD73))+B73)</f>
        <v/>
      </c>
      <c r="G73" s="72" t="str">
        <f t="shared" ref="G73:G78" si="14">IF(LEN(BR73)=0,"",1+ABS((BR73*C73)/LEN(BR73))+C73)</f>
        <v/>
      </c>
      <c r="H73" s="72" t="str">
        <f t="shared" ref="H73:H78" si="15">IF(LEN(CF73)=0,"",1+ABS((CF73*D73)/LEN(CF73))+D73)</f>
        <v/>
      </c>
      <c r="J73" s="706" t="s">
        <v>2590</v>
      </c>
      <c r="K73" s="1208" t="s">
        <v>2591</v>
      </c>
      <c r="L73" s="1209"/>
      <c r="M73" s="1209"/>
      <c r="N73" s="1209"/>
      <c r="O73" s="1209"/>
      <c r="P73" s="1209"/>
      <c r="Q73" s="1209"/>
      <c r="R73" s="1209"/>
      <c r="S73" s="1209"/>
      <c r="T73" s="1209"/>
      <c r="U73" s="1210"/>
      <c r="V73" s="715" t="s">
        <v>2592</v>
      </c>
      <c r="W73" s="707"/>
      <c r="X73" s="716"/>
      <c r="Y73" s="716"/>
      <c r="Z73" s="716"/>
      <c r="AA73" s="716"/>
      <c r="AB73" s="716"/>
      <c r="AC73" s="716"/>
      <c r="AD73" s="716"/>
      <c r="AE73" s="716"/>
      <c r="AF73" s="716"/>
      <c r="AG73" s="716"/>
      <c r="AH73" s="716"/>
      <c r="AI73" s="716"/>
      <c r="AJ73" s="716"/>
      <c r="AK73" s="707"/>
      <c r="AL73" s="707"/>
      <c r="AM73" s="707"/>
      <c r="AN73" s="1193"/>
      <c r="AO73" s="1194"/>
      <c r="AP73" s="1190"/>
      <c r="AQ73" s="1191"/>
      <c r="AR73" s="1191"/>
      <c r="AS73" s="1191"/>
      <c r="AT73" s="1191"/>
      <c r="AU73" s="1191"/>
      <c r="AV73" s="1191"/>
      <c r="AW73" s="1191"/>
      <c r="AX73" s="1191"/>
      <c r="AY73" s="1191"/>
      <c r="AZ73" s="1191"/>
      <c r="BA73" s="1192"/>
      <c r="BB73" s="1200"/>
      <c r="BC73" s="1200"/>
      <c r="BD73" s="1190"/>
      <c r="BE73" s="1191"/>
      <c r="BF73" s="1191"/>
      <c r="BG73" s="1191"/>
      <c r="BH73" s="1191"/>
      <c r="BI73" s="1191"/>
      <c r="BJ73" s="1191"/>
      <c r="BK73" s="1191"/>
      <c r="BL73" s="1191"/>
      <c r="BM73" s="1191"/>
      <c r="BN73" s="1191"/>
      <c r="BO73" s="1191"/>
      <c r="BP73" s="1193"/>
      <c r="BQ73" s="1194"/>
      <c r="BR73" s="1190"/>
      <c r="BS73" s="1191"/>
      <c r="BT73" s="1191"/>
      <c r="BU73" s="1191"/>
      <c r="BV73" s="1191"/>
      <c r="BW73" s="1191"/>
      <c r="BX73" s="1191"/>
      <c r="BY73" s="1191"/>
      <c r="BZ73" s="1191"/>
      <c r="CA73" s="1191"/>
      <c r="CB73" s="1191"/>
      <c r="CC73" s="1191"/>
      <c r="CD73" s="1193"/>
      <c r="CE73" s="1194"/>
      <c r="CF73" s="1190"/>
      <c r="CG73" s="1191"/>
      <c r="CH73" s="1191"/>
      <c r="CI73" s="1191"/>
      <c r="CJ73" s="1191"/>
      <c r="CK73" s="1191"/>
      <c r="CL73" s="1191"/>
      <c r="CM73" s="1191"/>
      <c r="CN73" s="1191"/>
      <c r="CO73" s="1191"/>
      <c r="CP73" s="1191"/>
      <c r="CQ73" s="1195"/>
    </row>
    <row r="74" spans="1:95" s="72" customFormat="1" ht="27" customHeight="1">
      <c r="A74" s="72">
        <v>1.6800000000000006</v>
      </c>
      <c r="B74" s="72">
        <v>1.8100000000000007</v>
      </c>
      <c r="C74" s="72">
        <v>1.9400000000000008</v>
      </c>
      <c r="D74" s="72">
        <v>2.0699999999999994</v>
      </c>
      <c r="E74" s="72" t="str">
        <f t="shared" si="12"/>
        <v/>
      </c>
      <c r="F74" s="72" t="str">
        <f t="shared" si="13"/>
        <v/>
      </c>
      <c r="G74" s="72" t="str">
        <f t="shared" si="14"/>
        <v/>
      </c>
      <c r="H74" s="72" t="str">
        <f t="shared" si="15"/>
        <v/>
      </c>
      <c r="J74" s="706" t="s">
        <v>2593</v>
      </c>
      <c r="K74" s="1202" t="s">
        <v>2594</v>
      </c>
      <c r="L74" s="1203"/>
      <c r="M74" s="1203"/>
      <c r="N74" s="1203"/>
      <c r="O74" s="1203"/>
      <c r="P74" s="1203"/>
      <c r="Q74" s="1203"/>
      <c r="R74" s="1203"/>
      <c r="S74" s="1203"/>
      <c r="T74" s="1203"/>
      <c r="U74" s="1204"/>
      <c r="V74" s="715" t="s">
        <v>2595</v>
      </c>
      <c r="W74" s="707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6"/>
      <c r="AK74" s="707"/>
      <c r="AL74" s="707"/>
      <c r="AM74" s="707"/>
      <c r="AN74" s="1193"/>
      <c r="AO74" s="1194"/>
      <c r="AP74" s="1190"/>
      <c r="AQ74" s="1191"/>
      <c r="AR74" s="1191"/>
      <c r="AS74" s="1191"/>
      <c r="AT74" s="1191"/>
      <c r="AU74" s="1191"/>
      <c r="AV74" s="1191"/>
      <c r="AW74" s="1191"/>
      <c r="AX74" s="1191"/>
      <c r="AY74" s="1191"/>
      <c r="AZ74" s="1191"/>
      <c r="BA74" s="1192"/>
      <c r="BB74" s="1200"/>
      <c r="BC74" s="1200"/>
      <c r="BD74" s="1190"/>
      <c r="BE74" s="1191"/>
      <c r="BF74" s="1191"/>
      <c r="BG74" s="1191"/>
      <c r="BH74" s="1191"/>
      <c r="BI74" s="1191"/>
      <c r="BJ74" s="1191"/>
      <c r="BK74" s="1191"/>
      <c r="BL74" s="1191"/>
      <c r="BM74" s="1191"/>
      <c r="BN74" s="1191"/>
      <c r="BO74" s="1191"/>
      <c r="BP74" s="1193"/>
      <c r="BQ74" s="1194"/>
      <c r="BR74" s="1190"/>
      <c r="BS74" s="1191"/>
      <c r="BT74" s="1191"/>
      <c r="BU74" s="1191"/>
      <c r="BV74" s="1191"/>
      <c r="BW74" s="1191"/>
      <c r="BX74" s="1191"/>
      <c r="BY74" s="1191"/>
      <c r="BZ74" s="1191"/>
      <c r="CA74" s="1191"/>
      <c r="CB74" s="1191"/>
      <c r="CC74" s="1191"/>
      <c r="CD74" s="1193"/>
      <c r="CE74" s="1194"/>
      <c r="CF74" s="1190"/>
      <c r="CG74" s="1191"/>
      <c r="CH74" s="1191"/>
      <c r="CI74" s="1191"/>
      <c r="CJ74" s="1191"/>
      <c r="CK74" s="1191"/>
      <c r="CL74" s="1191"/>
      <c r="CM74" s="1191"/>
      <c r="CN74" s="1191"/>
      <c r="CO74" s="1191"/>
      <c r="CP74" s="1191"/>
      <c r="CQ74" s="1195"/>
    </row>
    <row r="75" spans="1:95" s="72" customFormat="1" ht="27" customHeight="1">
      <c r="A75" s="72">
        <v>1.6900000000000006</v>
      </c>
      <c r="B75" s="72">
        <v>1.8200000000000007</v>
      </c>
      <c r="C75" s="72">
        <v>1.9500000000000008</v>
      </c>
      <c r="D75" s="72">
        <v>2.0799999999999992</v>
      </c>
      <c r="E75" s="72" t="str">
        <f t="shared" si="12"/>
        <v/>
      </c>
      <c r="F75" s="72" t="str">
        <f t="shared" si="13"/>
        <v/>
      </c>
      <c r="G75" s="72" t="str">
        <f t="shared" si="14"/>
        <v/>
      </c>
      <c r="H75" s="72" t="str">
        <f t="shared" si="15"/>
        <v/>
      </c>
      <c r="J75" s="706" t="s">
        <v>2596</v>
      </c>
      <c r="K75" s="1202" t="s">
        <v>2597</v>
      </c>
      <c r="L75" s="1203"/>
      <c r="M75" s="1203"/>
      <c r="N75" s="1203"/>
      <c r="O75" s="1203"/>
      <c r="P75" s="1203"/>
      <c r="Q75" s="1203"/>
      <c r="R75" s="1203"/>
      <c r="S75" s="1203"/>
      <c r="T75" s="1203"/>
      <c r="U75" s="1204"/>
      <c r="V75" s="715" t="s">
        <v>2598</v>
      </c>
      <c r="W75" s="707"/>
      <c r="X75" s="716"/>
      <c r="Y75" s="716"/>
      <c r="Z75" s="716"/>
      <c r="AA75" s="716"/>
      <c r="AB75" s="716"/>
      <c r="AC75" s="716"/>
      <c r="AD75" s="716"/>
      <c r="AE75" s="716"/>
      <c r="AF75" s="716"/>
      <c r="AG75" s="716"/>
      <c r="AH75" s="716"/>
      <c r="AI75" s="716"/>
      <c r="AJ75" s="716"/>
      <c r="AK75" s="707"/>
      <c r="AL75" s="707"/>
      <c r="AM75" s="707"/>
      <c r="AN75" s="1193"/>
      <c r="AO75" s="1194"/>
      <c r="AP75" s="1190"/>
      <c r="AQ75" s="1191"/>
      <c r="AR75" s="1191"/>
      <c r="AS75" s="1191"/>
      <c r="AT75" s="1191"/>
      <c r="AU75" s="1191"/>
      <c r="AV75" s="1191"/>
      <c r="AW75" s="1191"/>
      <c r="AX75" s="1191"/>
      <c r="AY75" s="1191"/>
      <c r="AZ75" s="1191"/>
      <c r="BA75" s="1192"/>
      <c r="BB75" s="1200"/>
      <c r="BC75" s="1200"/>
      <c r="BD75" s="1190"/>
      <c r="BE75" s="1191"/>
      <c r="BF75" s="1191"/>
      <c r="BG75" s="1191"/>
      <c r="BH75" s="1191"/>
      <c r="BI75" s="1191"/>
      <c r="BJ75" s="1191"/>
      <c r="BK75" s="1191"/>
      <c r="BL75" s="1191"/>
      <c r="BM75" s="1191"/>
      <c r="BN75" s="1191"/>
      <c r="BO75" s="1192"/>
      <c r="BP75" s="1193"/>
      <c r="BQ75" s="1194"/>
      <c r="BR75" s="1190"/>
      <c r="BS75" s="1191"/>
      <c r="BT75" s="1191"/>
      <c r="BU75" s="1191"/>
      <c r="BV75" s="1191"/>
      <c r="BW75" s="1191"/>
      <c r="BX75" s="1191"/>
      <c r="BY75" s="1191"/>
      <c r="BZ75" s="1191"/>
      <c r="CA75" s="1191"/>
      <c r="CB75" s="1191"/>
      <c r="CC75" s="1192"/>
      <c r="CD75" s="1193"/>
      <c r="CE75" s="1194"/>
      <c r="CF75" s="1190"/>
      <c r="CG75" s="1191"/>
      <c r="CH75" s="1191"/>
      <c r="CI75" s="1191"/>
      <c r="CJ75" s="1191"/>
      <c r="CK75" s="1191"/>
      <c r="CL75" s="1191"/>
      <c r="CM75" s="1191"/>
      <c r="CN75" s="1191"/>
      <c r="CO75" s="1191"/>
      <c r="CP75" s="1191"/>
      <c r="CQ75" s="1195"/>
    </row>
    <row r="76" spans="1:95" s="72" customFormat="1" ht="27" customHeight="1">
      <c r="A76" s="72">
        <v>1.7000000000000006</v>
      </c>
      <c r="B76" s="72">
        <v>1.8300000000000007</v>
      </c>
      <c r="C76" s="72">
        <v>1.9600000000000009</v>
      </c>
      <c r="D76" s="72">
        <v>2.089999999999999</v>
      </c>
      <c r="E76" s="72" t="str">
        <f t="shared" si="12"/>
        <v/>
      </c>
      <c r="F76" s="72" t="str">
        <f t="shared" si="13"/>
        <v/>
      </c>
      <c r="G76" s="72" t="str">
        <f t="shared" si="14"/>
        <v/>
      </c>
      <c r="H76" s="72" t="str">
        <f t="shared" si="15"/>
        <v/>
      </c>
      <c r="J76" s="706" t="s">
        <v>2599</v>
      </c>
      <c r="K76" s="1202" t="str">
        <f>IF(OsnPodaci!A58="","Unijeti interval izvještavanja.","u "&amp;TEXT(OsnPodaci!A58,"yyyy")&amp;". godini")</f>
        <v>u 2022. godini</v>
      </c>
      <c r="L76" s="1203"/>
      <c r="M76" s="1203"/>
      <c r="N76" s="1203"/>
      <c r="O76" s="1203"/>
      <c r="P76" s="1203"/>
      <c r="Q76" s="1203"/>
      <c r="R76" s="1203"/>
      <c r="S76" s="1203"/>
      <c r="T76" s="1203"/>
      <c r="U76" s="1204"/>
      <c r="V76" s="715" t="s">
        <v>2600</v>
      </c>
      <c r="W76" s="707"/>
      <c r="X76" s="716"/>
      <c r="Y76" s="716"/>
      <c r="Z76" s="716"/>
      <c r="AA76" s="716"/>
      <c r="AB76" s="716"/>
      <c r="AC76" s="716"/>
      <c r="AD76" s="716"/>
      <c r="AE76" s="716"/>
      <c r="AF76" s="716"/>
      <c r="AG76" s="716"/>
      <c r="AH76" s="716"/>
      <c r="AI76" s="716"/>
      <c r="AJ76" s="716"/>
      <c r="AK76" s="707"/>
      <c r="AL76" s="707"/>
      <c r="AM76" s="707"/>
      <c r="AN76" s="1193"/>
      <c r="AO76" s="1194"/>
      <c r="AP76" s="1190"/>
      <c r="AQ76" s="1191"/>
      <c r="AR76" s="1191"/>
      <c r="AS76" s="1191"/>
      <c r="AT76" s="1191"/>
      <c r="AU76" s="1191"/>
      <c r="AV76" s="1191"/>
      <c r="AW76" s="1191"/>
      <c r="AX76" s="1191"/>
      <c r="AY76" s="1191"/>
      <c r="AZ76" s="1191"/>
      <c r="BA76" s="1192"/>
      <c r="BB76" s="1200"/>
      <c r="BC76" s="1200"/>
      <c r="BD76" s="1190"/>
      <c r="BE76" s="1191"/>
      <c r="BF76" s="1191"/>
      <c r="BG76" s="1191"/>
      <c r="BH76" s="1191"/>
      <c r="BI76" s="1191"/>
      <c r="BJ76" s="1191"/>
      <c r="BK76" s="1191"/>
      <c r="BL76" s="1191"/>
      <c r="BM76" s="1191"/>
      <c r="BN76" s="1191"/>
      <c r="BO76" s="1192"/>
      <c r="BP76" s="1193"/>
      <c r="BQ76" s="1194"/>
      <c r="BR76" s="1190"/>
      <c r="BS76" s="1191"/>
      <c r="BT76" s="1191"/>
      <c r="BU76" s="1191"/>
      <c r="BV76" s="1191"/>
      <c r="BW76" s="1191"/>
      <c r="BX76" s="1191"/>
      <c r="BY76" s="1191"/>
      <c r="BZ76" s="1191"/>
      <c r="CA76" s="1191"/>
      <c r="CB76" s="1191"/>
      <c r="CC76" s="1192"/>
      <c r="CD76" s="1193"/>
      <c r="CE76" s="1194"/>
      <c r="CF76" s="1190"/>
      <c r="CG76" s="1191"/>
      <c r="CH76" s="1191"/>
      <c r="CI76" s="1191"/>
      <c r="CJ76" s="1191"/>
      <c r="CK76" s="1191"/>
      <c r="CL76" s="1191"/>
      <c r="CM76" s="1191"/>
      <c r="CN76" s="1191"/>
      <c r="CO76" s="1191"/>
      <c r="CP76" s="1191"/>
      <c r="CQ76" s="1195"/>
    </row>
    <row r="77" spans="1:95" s="72" customFormat="1" ht="27" customHeight="1">
      <c r="A77" s="72">
        <v>1.7100000000000006</v>
      </c>
      <c r="B77" s="72">
        <v>1.8400000000000007</v>
      </c>
      <c r="C77" s="72">
        <v>1.9700000000000009</v>
      </c>
      <c r="D77" s="72">
        <v>2.0999999999999988</v>
      </c>
      <c r="E77" s="72" t="str">
        <f t="shared" si="12"/>
        <v/>
      </c>
      <c r="F77" s="72" t="str">
        <f t="shared" si="13"/>
        <v/>
      </c>
      <c r="G77" s="72" t="str">
        <f t="shared" si="14"/>
        <v/>
      </c>
      <c r="H77" s="72" t="str">
        <f t="shared" si="15"/>
        <v/>
      </c>
      <c r="J77" s="706" t="s">
        <v>2601</v>
      </c>
      <c r="K77" s="1202" t="s">
        <v>2602</v>
      </c>
      <c r="L77" s="1203"/>
      <c r="M77" s="1203"/>
      <c r="N77" s="1203"/>
      <c r="O77" s="1203"/>
      <c r="P77" s="1203"/>
      <c r="Q77" s="1203"/>
      <c r="R77" s="1203"/>
      <c r="S77" s="1203"/>
      <c r="T77" s="1203"/>
      <c r="U77" s="1204"/>
      <c r="V77" s="715" t="s">
        <v>2603</v>
      </c>
      <c r="W77" s="707"/>
      <c r="X77" s="716"/>
      <c r="Y77" s="716"/>
      <c r="Z77" s="716"/>
      <c r="AA77" s="716"/>
      <c r="AB77" s="716"/>
      <c r="AC77" s="716"/>
      <c r="AD77" s="716"/>
      <c r="AE77" s="716"/>
      <c r="AF77" s="716"/>
      <c r="AG77" s="716"/>
      <c r="AH77" s="716"/>
      <c r="AI77" s="716"/>
      <c r="AJ77" s="716"/>
      <c r="AK77" s="707"/>
      <c r="AL77" s="707"/>
      <c r="AM77" s="707"/>
      <c r="AN77" s="1193"/>
      <c r="AO77" s="1194"/>
      <c r="AP77" s="1190"/>
      <c r="AQ77" s="1191"/>
      <c r="AR77" s="1191"/>
      <c r="AS77" s="1191"/>
      <c r="AT77" s="1191"/>
      <c r="AU77" s="1191"/>
      <c r="AV77" s="1191"/>
      <c r="AW77" s="1191"/>
      <c r="AX77" s="1191"/>
      <c r="AY77" s="1191"/>
      <c r="AZ77" s="1191"/>
      <c r="BA77" s="1192"/>
      <c r="BB77" s="1200"/>
      <c r="BC77" s="1200"/>
      <c r="BD77" s="1190"/>
      <c r="BE77" s="1191"/>
      <c r="BF77" s="1191"/>
      <c r="BG77" s="1191"/>
      <c r="BH77" s="1191"/>
      <c r="BI77" s="1191"/>
      <c r="BJ77" s="1191"/>
      <c r="BK77" s="1191"/>
      <c r="BL77" s="1191"/>
      <c r="BM77" s="1191"/>
      <c r="BN77" s="1191"/>
      <c r="BO77" s="1192"/>
      <c r="BP77" s="1193"/>
      <c r="BQ77" s="1194"/>
      <c r="BR77" s="1190"/>
      <c r="BS77" s="1191"/>
      <c r="BT77" s="1191"/>
      <c r="BU77" s="1191"/>
      <c r="BV77" s="1191"/>
      <c r="BW77" s="1191"/>
      <c r="BX77" s="1191"/>
      <c r="BY77" s="1191"/>
      <c r="BZ77" s="1191"/>
      <c r="CA77" s="1191"/>
      <c r="CB77" s="1191"/>
      <c r="CC77" s="1192"/>
      <c r="CD77" s="1193"/>
      <c r="CE77" s="1194"/>
      <c r="CF77" s="1190"/>
      <c r="CG77" s="1191"/>
      <c r="CH77" s="1191"/>
      <c r="CI77" s="1191"/>
      <c r="CJ77" s="1191"/>
      <c r="CK77" s="1191"/>
      <c r="CL77" s="1191"/>
      <c r="CM77" s="1191"/>
      <c r="CN77" s="1191"/>
      <c r="CO77" s="1191"/>
      <c r="CP77" s="1191"/>
      <c r="CQ77" s="1195"/>
    </row>
    <row r="78" spans="1:95" s="72" customFormat="1" ht="27" customHeight="1">
      <c r="A78" s="72">
        <v>1.7200000000000006</v>
      </c>
      <c r="B78" s="72">
        <v>1.8500000000000008</v>
      </c>
      <c r="C78" s="72">
        <v>1.9800000000000009</v>
      </c>
      <c r="D78" s="72">
        <v>2.1099999999999985</v>
      </c>
      <c r="E78" s="72" t="str">
        <f t="shared" si="12"/>
        <v/>
      </c>
      <c r="F78" s="72" t="str">
        <f t="shared" si="13"/>
        <v/>
      </c>
      <c r="G78" s="72" t="str">
        <f t="shared" si="14"/>
        <v/>
      </c>
      <c r="H78" s="72" t="str">
        <f t="shared" si="15"/>
        <v/>
      </c>
      <c r="J78" s="706" t="s">
        <v>2604</v>
      </c>
      <c r="K78" s="1205" t="s">
        <v>2605</v>
      </c>
      <c r="L78" s="1206"/>
      <c r="M78" s="1206"/>
      <c r="N78" s="1206"/>
      <c r="O78" s="1206"/>
      <c r="P78" s="1206"/>
      <c r="Q78" s="1206"/>
      <c r="R78" s="1206"/>
      <c r="S78" s="1206"/>
      <c r="T78" s="1206"/>
      <c r="U78" s="1207"/>
      <c r="V78" s="715" t="s">
        <v>2606</v>
      </c>
      <c r="W78" s="707"/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707"/>
      <c r="AL78" s="707"/>
      <c r="AM78" s="707"/>
      <c r="AN78" s="1193"/>
      <c r="AO78" s="1194"/>
      <c r="AP78" s="1190"/>
      <c r="AQ78" s="1191"/>
      <c r="AR78" s="1191"/>
      <c r="AS78" s="1191"/>
      <c r="AT78" s="1191"/>
      <c r="AU78" s="1191"/>
      <c r="AV78" s="1191"/>
      <c r="AW78" s="1191"/>
      <c r="AX78" s="1191"/>
      <c r="AY78" s="1191"/>
      <c r="AZ78" s="1191"/>
      <c r="BA78" s="1192"/>
      <c r="BB78" s="1200"/>
      <c r="BC78" s="1200"/>
      <c r="BD78" s="1190"/>
      <c r="BE78" s="1191"/>
      <c r="BF78" s="1191"/>
      <c r="BG78" s="1191"/>
      <c r="BH78" s="1191"/>
      <c r="BI78" s="1191"/>
      <c r="BJ78" s="1191"/>
      <c r="BK78" s="1191"/>
      <c r="BL78" s="1191"/>
      <c r="BM78" s="1191"/>
      <c r="BN78" s="1191"/>
      <c r="BO78" s="1192"/>
      <c r="BP78" s="1193"/>
      <c r="BQ78" s="1194"/>
      <c r="BR78" s="1190"/>
      <c r="BS78" s="1191"/>
      <c r="BT78" s="1191"/>
      <c r="BU78" s="1191"/>
      <c r="BV78" s="1191"/>
      <c r="BW78" s="1191"/>
      <c r="BX78" s="1191"/>
      <c r="BY78" s="1191"/>
      <c r="BZ78" s="1191"/>
      <c r="CA78" s="1191"/>
      <c r="CB78" s="1191"/>
      <c r="CC78" s="1192"/>
      <c r="CD78" s="1193"/>
      <c r="CE78" s="1194"/>
      <c r="CF78" s="1190"/>
      <c r="CG78" s="1191"/>
      <c r="CH78" s="1191"/>
      <c r="CI78" s="1191"/>
      <c r="CJ78" s="1191"/>
      <c r="CK78" s="1191"/>
      <c r="CL78" s="1191"/>
      <c r="CM78" s="1191"/>
      <c r="CN78" s="1191"/>
      <c r="CO78" s="1191"/>
      <c r="CP78" s="1191"/>
      <c r="CQ78" s="1195"/>
    </row>
    <row r="79" spans="1:95" s="72" customFormat="1" ht="5.25" customHeight="1">
      <c r="J79" s="636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717"/>
      <c r="V79" s="633"/>
      <c r="W79" s="633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633"/>
      <c r="AL79" s="633"/>
      <c r="AM79" s="633"/>
      <c r="AN79" s="1200"/>
      <c r="AO79" s="1200"/>
      <c r="AP79" s="1201"/>
      <c r="AQ79" s="1201"/>
      <c r="AR79" s="1201"/>
      <c r="AS79" s="1201"/>
      <c r="AT79" s="1201"/>
      <c r="AU79" s="1201"/>
      <c r="AV79" s="1201"/>
      <c r="AW79" s="1201"/>
      <c r="AX79" s="1201"/>
      <c r="AY79" s="1201"/>
      <c r="AZ79" s="1201"/>
      <c r="BA79" s="1201"/>
      <c r="BB79" s="1200"/>
      <c r="BC79" s="1200"/>
      <c r="BD79" s="1201"/>
      <c r="BE79" s="1201"/>
      <c r="BF79" s="1201"/>
      <c r="BG79" s="1201"/>
      <c r="BH79" s="1201"/>
      <c r="BI79" s="1201"/>
      <c r="BJ79" s="1201"/>
      <c r="BK79" s="1201"/>
      <c r="BL79" s="1201"/>
      <c r="BM79" s="1201"/>
      <c r="BN79" s="1201"/>
      <c r="BO79" s="1201"/>
      <c r="BP79" s="1200"/>
      <c r="BQ79" s="1200"/>
      <c r="BR79" s="1201"/>
      <c r="BS79" s="1201"/>
      <c r="BT79" s="1201"/>
      <c r="BU79" s="1201"/>
      <c r="BV79" s="1201"/>
      <c r="BW79" s="1201"/>
      <c r="BX79" s="1201"/>
      <c r="BY79" s="1201"/>
      <c r="BZ79" s="1201"/>
      <c r="CA79" s="1201"/>
      <c r="CB79" s="1201"/>
      <c r="CC79" s="1201"/>
      <c r="CD79" s="1200"/>
      <c r="CE79" s="1200"/>
      <c r="CF79" s="1201"/>
      <c r="CG79" s="1201"/>
      <c r="CH79" s="1201"/>
      <c r="CI79" s="1201"/>
      <c r="CJ79" s="1201"/>
      <c r="CK79" s="1201"/>
      <c r="CL79" s="1201"/>
      <c r="CM79" s="1201"/>
      <c r="CN79" s="1201"/>
      <c r="CO79" s="1201"/>
      <c r="CP79" s="1201"/>
      <c r="CQ79" s="1333"/>
    </row>
    <row r="80" spans="1:95" s="72" customFormat="1" ht="27" customHeight="1">
      <c r="A80" s="72">
        <v>1.7300000000000006</v>
      </c>
      <c r="B80" s="72">
        <v>1.8600000000000008</v>
      </c>
      <c r="C80" s="72">
        <v>1.9900000000000009</v>
      </c>
      <c r="D80" s="72">
        <v>2.1199999999999983</v>
      </c>
      <c r="E80" s="72" t="str">
        <f>IF(LEN(AP80)=0,"",1+ABS((AP80*A80)/LEN(AP80))+A80)</f>
        <v/>
      </c>
      <c r="F80" s="72" t="str">
        <f>IF(LEN(BD80)=0,"",1+ABS((BD80*B80)/LEN(BD80))+B80)</f>
        <v/>
      </c>
      <c r="G80" s="72" t="str">
        <f>IF(LEN(BR80)=0,"",1+ABS((BR80*C80)/LEN(BR80))+C80)</f>
        <v/>
      </c>
      <c r="H80" s="72" t="str">
        <f>IF(LEN(CF80)=0,"",1+ABS((CF80*D80)/LEN(CF80))+D80)</f>
        <v/>
      </c>
      <c r="J80" s="718" t="s">
        <v>2607</v>
      </c>
      <c r="K80" s="709" t="str">
        <f>IF(OsnPodaci!A58="","Unijeti interval izvještavanja.","Vrijednost aktiviranih stalnih sredstava u toku "&amp;TEXT(OsnPodaci!A58,"yyyy")&amp;". godine")</f>
        <v>Vrijednost aktiviranih stalnih sredstava u toku 2022. godine</v>
      </c>
      <c r="L80" s="710"/>
      <c r="M80" s="710"/>
      <c r="N80" s="710"/>
      <c r="O80" s="710"/>
      <c r="P80" s="710"/>
      <c r="Q80" s="710"/>
      <c r="R80" s="710"/>
      <c r="S80" s="710"/>
      <c r="T80" s="710"/>
      <c r="U80" s="710"/>
      <c r="V80" s="710"/>
      <c r="W80" s="710"/>
      <c r="X80" s="710"/>
      <c r="Y80" s="710"/>
      <c r="Z80" s="710"/>
      <c r="AA80" s="710"/>
      <c r="AB80" s="710"/>
      <c r="AC80" s="710"/>
      <c r="AD80" s="710"/>
      <c r="AE80" s="707"/>
      <c r="AF80" s="707"/>
      <c r="AG80" s="707"/>
      <c r="AH80" s="707"/>
      <c r="AI80" s="707"/>
      <c r="AJ80" s="707"/>
      <c r="AK80" s="707"/>
      <c r="AL80" s="707"/>
      <c r="AM80" s="707"/>
      <c r="AN80" s="1193"/>
      <c r="AO80" s="1194"/>
      <c r="AP80" s="1190"/>
      <c r="AQ80" s="1191"/>
      <c r="AR80" s="1191"/>
      <c r="AS80" s="1191"/>
      <c r="AT80" s="1191"/>
      <c r="AU80" s="1191"/>
      <c r="AV80" s="1191"/>
      <c r="AW80" s="1191"/>
      <c r="AX80" s="1191"/>
      <c r="AY80" s="1191"/>
      <c r="AZ80" s="1191"/>
      <c r="BA80" s="1192"/>
      <c r="BB80" s="1200"/>
      <c r="BC80" s="1200"/>
      <c r="BD80" s="1190"/>
      <c r="BE80" s="1191"/>
      <c r="BF80" s="1191"/>
      <c r="BG80" s="1191"/>
      <c r="BH80" s="1191"/>
      <c r="BI80" s="1191"/>
      <c r="BJ80" s="1191"/>
      <c r="BK80" s="1191"/>
      <c r="BL80" s="1191"/>
      <c r="BM80" s="1191"/>
      <c r="BN80" s="1191"/>
      <c r="BO80" s="1191"/>
      <c r="BP80" s="1193"/>
      <c r="BQ80" s="1194"/>
      <c r="BR80" s="1190"/>
      <c r="BS80" s="1191"/>
      <c r="BT80" s="1191"/>
      <c r="BU80" s="1191"/>
      <c r="BV80" s="1191"/>
      <c r="BW80" s="1191"/>
      <c r="BX80" s="1191"/>
      <c r="BY80" s="1191"/>
      <c r="BZ80" s="1191"/>
      <c r="CA80" s="1191"/>
      <c r="CB80" s="1191"/>
      <c r="CC80" s="1191"/>
      <c r="CD80" s="1193"/>
      <c r="CE80" s="1194"/>
      <c r="CF80" s="1190"/>
      <c r="CG80" s="1191"/>
      <c r="CH80" s="1191"/>
      <c r="CI80" s="1191"/>
      <c r="CJ80" s="1191"/>
      <c r="CK80" s="1191"/>
      <c r="CL80" s="1191"/>
      <c r="CM80" s="1191"/>
      <c r="CN80" s="1191"/>
      <c r="CO80" s="1191"/>
      <c r="CP80" s="1191"/>
      <c r="CQ80" s="1195"/>
    </row>
    <row r="81" spans="1:95" s="72" customFormat="1" ht="27" customHeight="1">
      <c r="A81" s="72">
        <v>1.7400000000000007</v>
      </c>
      <c r="B81" s="72">
        <v>1.8700000000000008</v>
      </c>
      <c r="C81" s="72">
        <v>2.0000000000000009</v>
      </c>
      <c r="D81" s="72">
        <v>2.1299999999999981</v>
      </c>
      <c r="E81" s="72" t="str">
        <f>IF(LEN(AP81)=0,"",1+ABS((AP81*A81)/LEN(AP81))+A81)</f>
        <v/>
      </c>
      <c r="F81" s="72" t="str">
        <f>IF(LEN(BD81)=0,"",1+ABS((BD81*B81)/LEN(BD81))+B81)</f>
        <v/>
      </c>
      <c r="G81" s="72" t="str">
        <f>IF(LEN(BR81)=0,"",1+ABS((BR81*C81)/LEN(BR81))+C81)</f>
        <v/>
      </c>
      <c r="H81" s="72" t="str">
        <f>IF(LEN(CF81)=0,"",1+ABS((CF81*D81)/LEN(CF81))+D81)</f>
        <v/>
      </c>
      <c r="J81" s="719" t="s">
        <v>2608</v>
      </c>
      <c r="K81" s="720" t="str">
        <f>IF(OsnPodaci!A58="","Unijeti interval izvještavanja.","Stalna sredstva u izgradnji (pripremi) krajem "&amp;TEXT(OsnPodaci!A58,"yyyy")&amp;". godine")</f>
        <v>Stalna sredstva u izgradnji (pripremi) krajem 2022. godine</v>
      </c>
      <c r="L81" s="721"/>
      <c r="M81" s="721"/>
      <c r="N81" s="721"/>
      <c r="O81" s="721"/>
      <c r="P81" s="721"/>
      <c r="Q81" s="721"/>
      <c r="R81" s="721"/>
      <c r="S81" s="721"/>
      <c r="T81" s="721"/>
      <c r="U81" s="721"/>
      <c r="V81" s="721"/>
      <c r="W81" s="721"/>
      <c r="X81" s="721"/>
      <c r="Y81" s="721"/>
      <c r="Z81" s="721"/>
      <c r="AA81" s="721"/>
      <c r="AB81" s="721"/>
      <c r="AC81" s="721"/>
      <c r="AD81" s="721"/>
      <c r="AE81" s="722"/>
      <c r="AF81" s="722"/>
      <c r="AG81" s="722"/>
      <c r="AH81" s="722"/>
      <c r="AI81" s="722"/>
      <c r="AJ81" s="722"/>
      <c r="AK81" s="722"/>
      <c r="AL81" s="722"/>
      <c r="AM81" s="722"/>
      <c r="AN81" s="723"/>
      <c r="AO81" s="724"/>
      <c r="AP81" s="1196"/>
      <c r="AQ81" s="1197"/>
      <c r="AR81" s="1197"/>
      <c r="AS81" s="1197"/>
      <c r="AT81" s="1197"/>
      <c r="AU81" s="1197"/>
      <c r="AV81" s="1197"/>
      <c r="AW81" s="1197"/>
      <c r="AX81" s="1197"/>
      <c r="AY81" s="1197"/>
      <c r="AZ81" s="1197"/>
      <c r="BA81" s="1198"/>
      <c r="BB81" s="725"/>
      <c r="BC81" s="725"/>
      <c r="BD81" s="1196"/>
      <c r="BE81" s="1197"/>
      <c r="BF81" s="1197"/>
      <c r="BG81" s="1197"/>
      <c r="BH81" s="1197"/>
      <c r="BI81" s="1197"/>
      <c r="BJ81" s="1197"/>
      <c r="BK81" s="1197"/>
      <c r="BL81" s="1197"/>
      <c r="BM81" s="1197"/>
      <c r="BN81" s="1197"/>
      <c r="BO81" s="1198"/>
      <c r="BP81" s="725"/>
      <c r="BQ81" s="725"/>
      <c r="BR81" s="1196"/>
      <c r="BS81" s="1197"/>
      <c r="BT81" s="1197"/>
      <c r="BU81" s="1197"/>
      <c r="BV81" s="1197"/>
      <c r="BW81" s="1197"/>
      <c r="BX81" s="1197"/>
      <c r="BY81" s="1197"/>
      <c r="BZ81" s="1197"/>
      <c r="CA81" s="1197"/>
      <c r="CB81" s="1197"/>
      <c r="CC81" s="1198"/>
      <c r="CD81" s="725"/>
      <c r="CE81" s="725"/>
      <c r="CF81" s="1196"/>
      <c r="CG81" s="1197"/>
      <c r="CH81" s="1197"/>
      <c r="CI81" s="1197"/>
      <c r="CJ81" s="1197"/>
      <c r="CK81" s="1197"/>
      <c r="CL81" s="1197"/>
      <c r="CM81" s="1197"/>
      <c r="CN81" s="1197"/>
      <c r="CO81" s="1197"/>
      <c r="CP81" s="1197"/>
      <c r="CQ81" s="1199"/>
    </row>
    <row r="82" spans="1:95" ht="15">
      <c r="E82" t="str">
        <f>IF(ISERROR(ABS(LOG(ABS(SUM(E5:E81)),EXP(3)))),"",ABS(LOG(ABS(SUM(E5:E81)),EXP(3))))</f>
        <v/>
      </c>
      <c r="F82" t="str">
        <f>IF(ISERROR(ABS(LOG(ABS(SUM(F5:F81)),EXP(3)))),"",ABS(LOG(ABS(SUM(F5:F81)),EXP(3))))</f>
        <v/>
      </c>
      <c r="G82" t="str">
        <f>IF(ISERROR(ABS(LOG(ABS(SUM(G5:G81)),EXP(3)))),"",ABS(LOG(ABS(SUM(G5:G81)),EXP(3))))</f>
        <v/>
      </c>
      <c r="H82" t="str">
        <f>IF(ISERROR(ABS(LOG(ABS(SUM(H5:H81)),EXP(3)))),"",ABS(LOG(ABS(SUM(H5:H81)),EXP(3))))</f>
        <v/>
      </c>
      <c r="J82" s="984" t="s">
        <v>2609</v>
      </c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169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</row>
    <row r="83" spans="1:95" ht="15">
      <c r="E83" s="62" t="str">
        <f>IF(ISERROR(IF(ISERROR(MID(E82,FIND(".",E82,1)+12,13)),MID(E82,FIND(",",E82,1)+12,13),MID(E82,FIND(".",E82,1)+12,13))),"",IF(ISERROR(MID(E82,FIND(".",E82,1)+12,13)),MID(E82,FIND(",",E82,1)+12,13),MID(E82,FIND(".",E82,1)+12,13)))</f>
        <v/>
      </c>
      <c r="F83" s="62" t="str">
        <f>IF(ISERROR(IF(ISERROR(MID(F82,FIND(".",F82,1)+12,13)),MID(F82,FIND(",",F82,1)+12,13),MID(F82,FIND(".",F82,1)+12,13))),"",IF(ISERROR(MID(F82,FIND(".",F82,1)+12,13)),MID(F82,FIND(",",F82,1)+12,13),MID(F82,FIND(".",F82,1)+12,13)))</f>
        <v/>
      </c>
      <c r="G83" s="62" t="str">
        <f>IF(ISERROR(IF(ISERROR(MID(G82,FIND(".",G82,1)+12,13)),MID(G82,FIND(",",G82,1)+12,13),MID(G82,FIND(".",G82,1)+12,13))),"",IF(ISERROR(MID(G82,FIND(".",G82,1)+12,13)),MID(G82,FIND(",",G82,1)+12,13),MID(G82,FIND(".",G82,1)+12,13)))</f>
        <v/>
      </c>
      <c r="H83" s="62" t="str">
        <f>IF(ISERROR(IF(ISERROR(MID(H82,FIND(".",H82,1)+12,13)),MID(H82,FIND(",",H82,1)+12,13),MID(H82,FIND(".",H82,1)+12,13))),"",IF(ISERROR(MID(H82,FIND(".",H82,1)+12,13)),MID(H82,FIND(",",H82,1)+12,13),MID(H82,FIND(".",H82,1)+12,13)))</f>
        <v/>
      </c>
      <c r="J83" s="274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</row>
    <row r="84" spans="1:95" ht="15">
      <c r="J84" s="276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</row>
    <row r="85" spans="1:95" s="78" customFormat="1" ht="23.25" customHeight="1">
      <c r="A85" s="77"/>
      <c r="B85" s="77"/>
      <c r="C85" s="77"/>
      <c r="D85" s="77"/>
      <c r="E85" s="77"/>
      <c r="F85" s="77"/>
      <c r="G85" s="77"/>
      <c r="H85" s="77"/>
      <c r="I85" s="77"/>
      <c r="J85" s="726" t="s">
        <v>2610</v>
      </c>
      <c r="K85" s="727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8"/>
      <c r="X85" s="728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9"/>
      <c r="AL85" s="729"/>
      <c r="AM85" s="728"/>
      <c r="AN85" s="728"/>
      <c r="AO85" s="728"/>
      <c r="AP85" s="728"/>
      <c r="AQ85" s="728"/>
      <c r="AR85" s="728"/>
      <c r="AS85" s="728"/>
      <c r="AT85" s="728"/>
      <c r="AU85" s="989" t="s">
        <v>2611</v>
      </c>
      <c r="AV85" s="712"/>
      <c r="AW85" s="712"/>
      <c r="AX85" s="712"/>
      <c r="AY85" s="278" t="str">
        <f>IF(LEN(OsnPodaci!$B$70)=8,TEXT(OsnPodaci!$B$70,"\000\/000-000"),IF(LEN(OsnPodaci!$B$70)=9,TEXT(OsnPodaci!$B$70,"\0??\/000-0000"),"-"))</f>
        <v>033/407-172</v>
      </c>
      <c r="AZ85" s="688"/>
      <c r="BA85" s="688"/>
      <c r="BB85" s="688"/>
      <c r="BC85" s="688"/>
      <c r="BD85" s="688"/>
      <c r="BE85" s="688"/>
      <c r="BF85" s="688"/>
      <c r="BG85" s="688"/>
      <c r="BH85" s="688"/>
      <c r="BI85" s="729"/>
      <c r="BJ85" s="729"/>
      <c r="BK85" s="729"/>
      <c r="BL85" s="729"/>
      <c r="BM85" s="729"/>
      <c r="BN85" s="729"/>
      <c r="BO85" s="729"/>
      <c r="BP85" s="729"/>
      <c r="BQ85" s="729"/>
      <c r="BR85" s="729"/>
      <c r="BS85" s="729"/>
      <c r="BT85" s="729"/>
      <c r="BU85" s="729"/>
      <c r="BV85" s="729"/>
      <c r="BW85" s="729"/>
      <c r="BX85" s="712"/>
      <c r="BZ85" s="712"/>
      <c r="CA85" s="712"/>
      <c r="CB85" s="712"/>
      <c r="CC85" s="731"/>
      <c r="CD85" s="731"/>
      <c r="CE85" s="731"/>
      <c r="CF85" s="731"/>
      <c r="CG85" s="731"/>
      <c r="CH85" s="731"/>
      <c r="CI85" s="729"/>
      <c r="CJ85" s="730"/>
      <c r="CK85" s="730"/>
      <c r="CL85" s="730"/>
      <c r="CM85" s="730"/>
      <c r="CN85" s="730"/>
      <c r="CO85" s="730"/>
      <c r="CP85" s="730"/>
    </row>
    <row r="86" spans="1:95" s="78" customFormat="1" ht="23.25" customHeight="1">
      <c r="A86" s="77"/>
      <c r="B86" s="77"/>
      <c r="C86" s="77"/>
      <c r="D86" s="77"/>
      <c r="E86" s="77"/>
      <c r="F86" s="77"/>
      <c r="G86" s="77"/>
      <c r="H86" s="77"/>
      <c r="I86" s="77"/>
      <c r="J86" s="1316" t="str">
        <f>IF(OsnPodaci!A67="","",LEFT(OsnPodaci!A67,FIND(";",OsnPodaci!A67,1)-1))</f>
        <v>HADŽIALIĆ (AHMET) AZIRA</v>
      </c>
      <c r="K86" s="1316"/>
      <c r="L86" s="1316"/>
      <c r="M86" s="1316"/>
      <c r="N86" s="1316"/>
      <c r="O86" s="1316"/>
      <c r="P86" s="1316"/>
      <c r="Q86" s="1316"/>
      <c r="R86" s="1316"/>
      <c r="S86" s="1316"/>
      <c r="T86" s="1316"/>
      <c r="U86" s="1316"/>
      <c r="V86" s="1316"/>
      <c r="W86" s="728"/>
      <c r="X86" s="728"/>
      <c r="Y86" s="729"/>
      <c r="Z86" s="729"/>
      <c r="AA86" s="729"/>
      <c r="AB86" s="729"/>
      <c r="AC86" s="729"/>
      <c r="AD86" s="729"/>
      <c r="AE86" s="729"/>
      <c r="AF86" s="729"/>
      <c r="AG86" s="729"/>
      <c r="AH86" s="729"/>
      <c r="AI86" s="729"/>
      <c r="AJ86" s="729"/>
      <c r="AK86" s="729"/>
      <c r="AL86" s="729"/>
      <c r="AM86" s="728"/>
      <c r="AN86" s="728"/>
      <c r="AO86" s="728"/>
      <c r="AP86" s="728"/>
      <c r="AQ86" s="728"/>
      <c r="AR86" s="728"/>
      <c r="AS86" s="728"/>
      <c r="AT86" s="728"/>
      <c r="AU86" s="730" t="s">
        <v>2612</v>
      </c>
      <c r="AV86" s="712"/>
      <c r="AW86" s="712"/>
      <c r="AX86" s="712"/>
      <c r="AY86" s="639" t="str">
        <f>IF(OsnPodaci!A70="","",OsnPodaci!A70)</f>
        <v>azira.hadzialic@blago.ba</v>
      </c>
      <c r="AZ86" s="688"/>
      <c r="BA86" s="688"/>
      <c r="BB86" s="688"/>
      <c r="BC86" s="688"/>
      <c r="BD86" s="688"/>
      <c r="BE86" s="688"/>
      <c r="BF86" s="688"/>
      <c r="BG86" s="688"/>
      <c r="BH86" s="688"/>
      <c r="BI86" s="729"/>
      <c r="BJ86" s="729"/>
      <c r="BK86" s="729"/>
      <c r="BL86" s="729"/>
      <c r="BM86" s="729"/>
      <c r="BN86" s="729"/>
      <c r="BO86" s="729"/>
      <c r="BP86" s="729"/>
      <c r="BQ86" s="729"/>
      <c r="BR86" s="729"/>
      <c r="BS86" s="729"/>
      <c r="BT86" s="729"/>
      <c r="BU86" s="729"/>
      <c r="BV86" s="729"/>
      <c r="BW86" s="729"/>
      <c r="BX86" s="712"/>
      <c r="BY86" s="730" t="s">
        <v>2209</v>
      </c>
      <c r="BZ86" s="731"/>
      <c r="CA86" s="712"/>
      <c r="CB86" s="712"/>
      <c r="CC86" s="712"/>
      <c r="CD86" s="731"/>
      <c r="CE86" s="731"/>
      <c r="CF86" s="731"/>
      <c r="CG86" s="731"/>
      <c r="CH86" s="731"/>
      <c r="CI86" s="688"/>
      <c r="CJ86" s="688"/>
      <c r="CK86" s="688"/>
      <c r="CL86" s="688"/>
      <c r="CM86" s="688"/>
      <c r="CN86" s="688"/>
      <c r="CO86" s="688"/>
      <c r="CP86" s="688"/>
      <c r="CQ86" s="744" t="s">
        <v>2613</v>
      </c>
    </row>
    <row r="87" spans="1:95" s="40" customFormat="1" ht="18.75" customHeight="1">
      <c r="A87" s="79"/>
      <c r="B87" s="79"/>
      <c r="C87" s="79"/>
      <c r="D87" s="79"/>
      <c r="E87" s="79"/>
      <c r="F87" s="79"/>
      <c r="G87" s="79"/>
      <c r="H87" s="79"/>
      <c r="I87" s="79"/>
      <c r="J87" s="1316"/>
      <c r="K87" s="1316"/>
      <c r="L87" s="1316"/>
      <c r="M87" s="1316"/>
      <c r="N87" s="1316"/>
      <c r="O87" s="1316"/>
      <c r="P87" s="1316"/>
      <c r="Q87" s="1316"/>
      <c r="R87" s="1316"/>
      <c r="S87" s="1316"/>
      <c r="T87" s="1316"/>
      <c r="U87" s="1316"/>
      <c r="V87" s="1316"/>
      <c r="W87" s="728"/>
      <c r="X87" s="728"/>
      <c r="Y87" s="729"/>
      <c r="Z87" s="729"/>
      <c r="AA87" s="729"/>
      <c r="AB87" s="729"/>
      <c r="AC87" s="729"/>
      <c r="AD87" s="729"/>
      <c r="AE87" s="729"/>
      <c r="AF87" s="729"/>
      <c r="AG87" s="729"/>
      <c r="AH87" s="729"/>
      <c r="AI87" s="729"/>
      <c r="AJ87" s="729"/>
      <c r="AK87" s="729"/>
      <c r="AL87" s="729"/>
      <c r="AM87" s="1317"/>
      <c r="AN87" s="1317"/>
      <c r="AO87" s="1317"/>
      <c r="AP87" s="1317"/>
      <c r="AQ87" s="728"/>
      <c r="AR87" s="728"/>
      <c r="AS87" s="728"/>
      <c r="AT87" s="728"/>
      <c r="AU87" s="730" t="s">
        <v>2614</v>
      </c>
      <c r="AV87" s="712"/>
      <c r="AW87" s="712"/>
      <c r="AX87" s="712"/>
      <c r="AY87" s="639" t="str">
        <f>IF(OsnPodaci!D58="","",TEXT(OsnPodaci!D58,"dd.mm.yyyy."))</f>
        <v>28.02.2023.</v>
      </c>
      <c r="AZ87" s="991"/>
      <c r="BA87" s="991"/>
      <c r="BB87" s="991"/>
      <c r="BC87" s="991"/>
      <c r="BD87" s="991"/>
      <c r="BE87" s="991"/>
      <c r="BF87" s="991"/>
      <c r="BG87" s="991"/>
      <c r="BH87" s="991"/>
      <c r="BI87" s="729"/>
      <c r="BJ87" s="729"/>
      <c r="BK87" s="729"/>
      <c r="BL87" s="729"/>
      <c r="BM87" s="729"/>
      <c r="BN87" s="729"/>
      <c r="BO87" s="729"/>
      <c r="BP87" s="729"/>
      <c r="BQ87" s="729"/>
      <c r="BR87" s="729"/>
      <c r="BS87" s="729"/>
      <c r="BT87" s="729"/>
      <c r="BU87" s="729"/>
      <c r="BV87" s="729"/>
      <c r="BW87" s="729"/>
      <c r="BX87" s="712"/>
      <c r="BY87" s="712"/>
      <c r="BZ87" s="712"/>
      <c r="CA87" s="712"/>
      <c r="CB87" s="712"/>
      <c r="CC87" s="731"/>
      <c r="CD87" s="731"/>
      <c r="CE87" s="731"/>
      <c r="CF87" s="731"/>
      <c r="CG87" s="731"/>
      <c r="CH87" s="731"/>
      <c r="CI87" s="732"/>
      <c r="CJ87" s="732"/>
      <c r="CK87" s="732"/>
      <c r="CL87" s="732"/>
      <c r="CM87" s="733"/>
      <c r="CN87" s="732"/>
      <c r="CO87" s="732"/>
      <c r="CP87" s="732"/>
      <c r="CQ87" s="712"/>
    </row>
    <row r="88" spans="1:95" ht="18">
      <c r="J88" s="734" t="s">
        <v>2615</v>
      </c>
      <c r="K88" s="635"/>
      <c r="L88" s="635"/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5"/>
      <c r="AQ88" s="635"/>
      <c r="AR88" s="635"/>
      <c r="AS88" s="635"/>
      <c r="AT88" s="635"/>
      <c r="AU88" s="712"/>
      <c r="AV88" s="712"/>
      <c r="AW88" s="712"/>
      <c r="AX88" s="712"/>
      <c r="AY88" s="712"/>
      <c r="AZ88" s="712"/>
      <c r="BA88" s="712"/>
      <c r="BB88" s="712"/>
      <c r="BC88" s="712"/>
      <c r="BD88" s="712"/>
      <c r="BE88" s="712"/>
      <c r="BF88" s="712"/>
      <c r="BG88" s="712"/>
      <c r="BH88" s="712"/>
      <c r="BI88" s="635"/>
      <c r="BJ88" s="635"/>
      <c r="BK88" s="735"/>
      <c r="BL88" s="735"/>
      <c r="BM88" s="735"/>
      <c r="BN88" s="735"/>
      <c r="BO88" s="735"/>
      <c r="BP88" s="735"/>
      <c r="BQ88" s="735"/>
      <c r="BR88" s="735"/>
      <c r="BS88" s="735"/>
      <c r="BT88" s="735"/>
      <c r="BU88" s="735"/>
      <c r="BV88" s="735"/>
      <c r="BW88" s="735"/>
      <c r="BX88" s="712"/>
      <c r="BY88" s="712"/>
      <c r="BZ88" s="712"/>
      <c r="CA88" s="712"/>
      <c r="CB88" s="712"/>
      <c r="CC88" s="712"/>
      <c r="CD88" s="731"/>
      <c r="CE88" s="731"/>
      <c r="CF88" s="731"/>
      <c r="CG88" s="731"/>
      <c r="CH88" s="731"/>
      <c r="CI88" s="731"/>
      <c r="CJ88" s="731"/>
      <c r="CK88" s="731"/>
      <c r="CL88" s="731"/>
      <c r="CM88" s="731"/>
      <c r="CN88" s="731"/>
      <c r="CO88" s="731"/>
      <c r="CP88" s="731"/>
      <c r="CQ88" s="731"/>
    </row>
    <row r="89" spans="1:95" ht="15"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</row>
    <row r="90" spans="1:95" ht="15"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</row>
    <row r="91" spans="1:95" ht="17.25" customHeight="1">
      <c r="J91" s="230"/>
      <c r="K91" s="230"/>
      <c r="L91" s="230"/>
      <c r="M91" s="230"/>
      <c r="N91" s="252"/>
      <c r="O91" s="252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268"/>
      <c r="AY91" s="268"/>
      <c r="AZ91" s="268"/>
      <c r="BA91" s="268"/>
      <c r="BB91" s="230"/>
      <c r="BC91" s="230"/>
      <c r="BD91" s="230"/>
      <c r="BE91" s="230"/>
      <c r="BF91" s="230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268"/>
      <c r="BU91" s="268"/>
      <c r="BV91" s="268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30"/>
      <c r="CM91" s="230"/>
      <c r="CN91" s="230"/>
      <c r="CO91" s="230"/>
      <c r="CP91" s="230"/>
      <c r="CQ91" s="230"/>
    </row>
    <row r="93" spans="1:95" ht="15">
      <c r="J93" s="274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268"/>
      <c r="BU93" s="268"/>
      <c r="BV93" s="268"/>
      <c r="BW93" s="268"/>
      <c r="BX93" s="268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</row>
    <row r="97" spans="1:95" s="81" customFormat="1" ht="19.5" customHeight="1">
      <c r="A97" s="80"/>
      <c r="B97" s="80"/>
      <c r="C97" s="80"/>
      <c r="D97" s="80"/>
      <c r="E97" s="80"/>
      <c r="F97" s="80"/>
      <c r="G97" s="80"/>
      <c r="H97" s="80"/>
      <c r="I97" s="80"/>
      <c r="J97" s="736" t="str">
        <f>IF('INV01-1'!B61&amp;'INV01-2'!E83&amp;'INV01-2'!F83&amp;'INV01-2'!G83&amp;'INV01-2'!H83="","Obrazac prazan - unesite cifru na barem jednu poziciju.","Kontrolni broj: "&amp;MID('INV01-1'!BE1,2,LEN('INV01-1'!BE1)-2))</f>
        <v>Obrazac prazan - unesite cifru na barem jednu poziciju.</v>
      </c>
      <c r="K97" s="664"/>
      <c r="L97" s="664"/>
      <c r="M97" s="664"/>
      <c r="N97" s="664"/>
      <c r="O97" s="664"/>
      <c r="P97" s="664"/>
      <c r="Q97" s="664"/>
      <c r="R97" s="664"/>
      <c r="S97" s="737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279"/>
      <c r="CH97" s="270"/>
      <c r="CI97" s="270"/>
      <c r="CJ97" s="269"/>
      <c r="CK97" s="280"/>
      <c r="CL97" s="280"/>
      <c r="CM97" s="280"/>
      <c r="CN97" s="280"/>
      <c r="CO97" s="280"/>
      <c r="CP97" s="280"/>
      <c r="CQ97" s="738" t="s">
        <v>2210</v>
      </c>
    </row>
  </sheetData>
  <sheetProtection sheet="1" objects="1" scenarios="1"/>
  <mergeCells count="366">
    <mergeCell ref="CL2:CQ3"/>
    <mergeCell ref="K3:BS3"/>
    <mergeCell ref="BD79:BO79"/>
    <mergeCell ref="BR79:CC79"/>
    <mergeCell ref="CF79:CQ79"/>
    <mergeCell ref="CD80:CE80"/>
    <mergeCell ref="CF80:CQ80"/>
    <mergeCell ref="AP81:BA81"/>
    <mergeCell ref="K4:BS4"/>
    <mergeCell ref="BT4:BY4"/>
    <mergeCell ref="BZ4:CE4"/>
    <mergeCell ref="CF4:CK4"/>
    <mergeCell ref="K2:BS2"/>
    <mergeCell ref="BT2:BY3"/>
    <mergeCell ref="BZ2:CE3"/>
    <mergeCell ref="CF2:CK3"/>
    <mergeCell ref="K6:BS6"/>
    <mergeCell ref="BT6:BY6"/>
    <mergeCell ref="BZ6:CE6"/>
    <mergeCell ref="CF6:CK6"/>
    <mergeCell ref="L10:BS10"/>
    <mergeCell ref="BT10:BY10"/>
    <mergeCell ref="BZ10:CE10"/>
    <mergeCell ref="CF10:CK10"/>
    <mergeCell ref="J86:V87"/>
    <mergeCell ref="AM87:AP87"/>
    <mergeCell ref="J2:J3"/>
    <mergeCell ref="CL4:CQ4"/>
    <mergeCell ref="BT5:BY5"/>
    <mergeCell ref="BZ5:CE5"/>
    <mergeCell ref="CF5:CK5"/>
    <mergeCell ref="CL5:CQ5"/>
    <mergeCell ref="L9:BS9"/>
    <mergeCell ref="BT9:BY9"/>
    <mergeCell ref="BZ9:CE9"/>
    <mergeCell ref="CF9:CK9"/>
    <mergeCell ref="CL9:CQ9"/>
    <mergeCell ref="L7:BS7"/>
    <mergeCell ref="BT7:BY7"/>
    <mergeCell ref="BZ7:CE7"/>
    <mergeCell ref="CF7:CK7"/>
    <mergeCell ref="CL7:CQ7"/>
    <mergeCell ref="K8:BS8"/>
    <mergeCell ref="BT8:BY8"/>
    <mergeCell ref="BZ8:CE8"/>
    <mergeCell ref="CF8:CK8"/>
    <mergeCell ref="CL8:CQ8"/>
    <mergeCell ref="CL6:CQ6"/>
    <mergeCell ref="CL10:CQ10"/>
    <mergeCell ref="L11:BS11"/>
    <mergeCell ref="BT11:BY11"/>
    <mergeCell ref="BZ11:CE11"/>
    <mergeCell ref="CF11:CK11"/>
    <mergeCell ref="CL11:CQ11"/>
    <mergeCell ref="K12:BS12"/>
    <mergeCell ref="BT12:BY12"/>
    <mergeCell ref="BZ12:CE12"/>
    <mergeCell ref="CF12:CK12"/>
    <mergeCell ref="CL12:CQ12"/>
    <mergeCell ref="K13:BS13"/>
    <mergeCell ref="BT13:BY13"/>
    <mergeCell ref="BZ13:CE13"/>
    <mergeCell ref="CF13:CK13"/>
    <mergeCell ref="CL13:CQ13"/>
    <mergeCell ref="L14:BS14"/>
    <mergeCell ref="BT14:BY14"/>
    <mergeCell ref="BZ14:CE14"/>
    <mergeCell ref="CF14:CK14"/>
    <mergeCell ref="CL14:CQ14"/>
    <mergeCell ref="L15:BS15"/>
    <mergeCell ref="BT15:BY15"/>
    <mergeCell ref="BZ15:CE15"/>
    <mergeCell ref="CF15:CK15"/>
    <mergeCell ref="CL15:CQ15"/>
    <mergeCell ref="L16:BS16"/>
    <mergeCell ref="BT16:BY16"/>
    <mergeCell ref="BZ16:CE16"/>
    <mergeCell ref="CF16:CK16"/>
    <mergeCell ref="CL16:CQ16"/>
    <mergeCell ref="L17:BS17"/>
    <mergeCell ref="BT17:BY17"/>
    <mergeCell ref="BZ17:CE17"/>
    <mergeCell ref="CF17:CK17"/>
    <mergeCell ref="CL17:CQ17"/>
    <mergeCell ref="L18:BS18"/>
    <mergeCell ref="BT18:BY18"/>
    <mergeCell ref="BZ18:CE18"/>
    <mergeCell ref="CF18:CK18"/>
    <mergeCell ref="CL18:CQ18"/>
    <mergeCell ref="L19:BS19"/>
    <mergeCell ref="BT19:BY19"/>
    <mergeCell ref="BZ19:CE19"/>
    <mergeCell ref="CF19:CK19"/>
    <mergeCell ref="CL19:CQ19"/>
    <mergeCell ref="L20:BS20"/>
    <mergeCell ref="BT20:BY20"/>
    <mergeCell ref="BZ20:CE20"/>
    <mergeCell ref="CF20:CK20"/>
    <mergeCell ref="CL20:CQ20"/>
    <mergeCell ref="L21:BS21"/>
    <mergeCell ref="BT21:BY21"/>
    <mergeCell ref="BZ21:CE21"/>
    <mergeCell ref="CF21:CK21"/>
    <mergeCell ref="CL21:CQ21"/>
    <mergeCell ref="L22:BS22"/>
    <mergeCell ref="BT22:BY22"/>
    <mergeCell ref="BZ22:CE22"/>
    <mergeCell ref="CF22:CK22"/>
    <mergeCell ref="CL22:CQ22"/>
    <mergeCell ref="K23:BS23"/>
    <mergeCell ref="BT23:BY23"/>
    <mergeCell ref="BZ23:CE23"/>
    <mergeCell ref="CF23:CK23"/>
    <mergeCell ref="CL23:CQ23"/>
    <mergeCell ref="L24:BS24"/>
    <mergeCell ref="BT24:BY24"/>
    <mergeCell ref="BZ24:CE24"/>
    <mergeCell ref="CF24:CK24"/>
    <mergeCell ref="CL24:CQ24"/>
    <mergeCell ref="L25:BS25"/>
    <mergeCell ref="BT25:BY25"/>
    <mergeCell ref="BZ25:CE25"/>
    <mergeCell ref="CF25:CK25"/>
    <mergeCell ref="CL25:CQ25"/>
    <mergeCell ref="L26:BS26"/>
    <mergeCell ref="BT26:BY26"/>
    <mergeCell ref="BZ26:CE26"/>
    <mergeCell ref="CF26:CK26"/>
    <mergeCell ref="CL26:CQ26"/>
    <mergeCell ref="CF28:CK28"/>
    <mergeCell ref="CL28:CQ28"/>
    <mergeCell ref="K27:BS27"/>
    <mergeCell ref="BT27:BY27"/>
    <mergeCell ref="BZ27:CE27"/>
    <mergeCell ref="CF27:CK27"/>
    <mergeCell ref="CL27:CQ27"/>
    <mergeCell ref="K28:BS28"/>
    <mergeCell ref="BT28:BY28"/>
    <mergeCell ref="BZ28:CE28"/>
    <mergeCell ref="CF30:CK30"/>
    <mergeCell ref="CF35:CK35"/>
    <mergeCell ref="CL34:CQ34"/>
    <mergeCell ref="CL35:CQ35"/>
    <mergeCell ref="BT35:BY35"/>
    <mergeCell ref="BZ35:CE35"/>
    <mergeCell ref="L34:BS34"/>
    <mergeCell ref="BT34:BY34"/>
    <mergeCell ref="BZ34:CE34"/>
    <mergeCell ref="CF34:CK34"/>
    <mergeCell ref="L29:BS29"/>
    <mergeCell ref="BT29:BY29"/>
    <mergeCell ref="BZ29:CE29"/>
    <mergeCell ref="CF29:CK29"/>
    <mergeCell ref="CL29:CQ29"/>
    <mergeCell ref="CL32:CQ32"/>
    <mergeCell ref="L33:BS33"/>
    <mergeCell ref="BT33:BY33"/>
    <mergeCell ref="BZ33:CE33"/>
    <mergeCell ref="CF33:CK33"/>
    <mergeCell ref="CL33:CQ33"/>
    <mergeCell ref="CL30:CQ30"/>
    <mergeCell ref="K31:BS31"/>
    <mergeCell ref="BT31:BY31"/>
    <mergeCell ref="CF32:CK32"/>
    <mergeCell ref="L32:BS32"/>
    <mergeCell ref="BT32:BY32"/>
    <mergeCell ref="BZ32:CE32"/>
    <mergeCell ref="BZ31:CE31"/>
    <mergeCell ref="CF31:CK31"/>
    <mergeCell ref="CL31:CQ31"/>
    <mergeCell ref="L30:BS30"/>
    <mergeCell ref="BT30:BY30"/>
    <mergeCell ref="BZ30:CE30"/>
    <mergeCell ref="BT38:BY38"/>
    <mergeCell ref="BZ38:CE38"/>
    <mergeCell ref="CF38:CK38"/>
    <mergeCell ref="CL38:CQ38"/>
    <mergeCell ref="BT36:BY36"/>
    <mergeCell ref="BZ36:CE36"/>
    <mergeCell ref="CF36:CK36"/>
    <mergeCell ref="CL36:CQ36"/>
    <mergeCell ref="BT37:BY37"/>
    <mergeCell ref="BZ37:CE37"/>
    <mergeCell ref="CF37:CK37"/>
    <mergeCell ref="CL37:CQ37"/>
    <mergeCell ref="K43:BS43"/>
    <mergeCell ref="BT43:BY43"/>
    <mergeCell ref="BZ43:CE43"/>
    <mergeCell ref="CF43:CK43"/>
    <mergeCell ref="CL43:CQ43"/>
    <mergeCell ref="L39:BS39"/>
    <mergeCell ref="BT39:BY39"/>
    <mergeCell ref="BZ39:CE39"/>
    <mergeCell ref="CF39:CK39"/>
    <mergeCell ref="CL39:CQ39"/>
    <mergeCell ref="K41:BS41"/>
    <mergeCell ref="BT41:BY41"/>
    <mergeCell ref="BZ41:CE41"/>
    <mergeCell ref="CF41:CK41"/>
    <mergeCell ref="CL41:CQ41"/>
    <mergeCell ref="L40:BS40"/>
    <mergeCell ref="BT40:BY40"/>
    <mergeCell ref="BZ40:CE40"/>
    <mergeCell ref="CF40:CK40"/>
    <mergeCell ref="CL40:CQ40"/>
    <mergeCell ref="J53:J65"/>
    <mergeCell ref="AN53:BA53"/>
    <mergeCell ref="BB53:CQ53"/>
    <mergeCell ref="AN55:AZ57"/>
    <mergeCell ref="BB55:BN57"/>
    <mergeCell ref="BP55:CB57"/>
    <mergeCell ref="CD55:CP57"/>
    <mergeCell ref="AR58:AZ58"/>
    <mergeCell ref="BF58:BN58"/>
    <mergeCell ref="BT58:CB58"/>
    <mergeCell ref="CH58:CP58"/>
    <mergeCell ref="AO64:AP64"/>
    <mergeCell ref="CL64:CP64"/>
    <mergeCell ref="AR59:AZ59"/>
    <mergeCell ref="BF59:BN59"/>
    <mergeCell ref="BT59:CB59"/>
    <mergeCell ref="CL62:CO62"/>
    <mergeCell ref="AV62:AY62"/>
    <mergeCell ref="BJ62:BM62"/>
    <mergeCell ref="CH59:CP59"/>
    <mergeCell ref="AX61:AY61"/>
    <mergeCell ref="BL61:BM61"/>
    <mergeCell ref="BZ61:CA61"/>
    <mergeCell ref="CN61:CO61"/>
    <mergeCell ref="CF45:CK45"/>
    <mergeCell ref="CL45:CQ45"/>
    <mergeCell ref="K44:BS44"/>
    <mergeCell ref="BT44:BY44"/>
    <mergeCell ref="BZ44:CE44"/>
    <mergeCell ref="CF44:CK44"/>
    <mergeCell ref="CL44:CQ44"/>
    <mergeCell ref="CD66:CQ66"/>
    <mergeCell ref="AV64:AZ64"/>
    <mergeCell ref="BC64:BD64"/>
    <mergeCell ref="BJ64:BN64"/>
    <mergeCell ref="BQ64:BR64"/>
    <mergeCell ref="BX64:CB64"/>
    <mergeCell ref="CE64:CF64"/>
    <mergeCell ref="AN66:BA66"/>
    <mergeCell ref="BB66:BO66"/>
    <mergeCell ref="BP66:CC66"/>
    <mergeCell ref="BX62:CA62"/>
    <mergeCell ref="K45:BS45"/>
    <mergeCell ref="BT45:BY45"/>
    <mergeCell ref="BZ45:CE45"/>
    <mergeCell ref="K68:T69"/>
    <mergeCell ref="AN68:AO68"/>
    <mergeCell ref="AP68:BA68"/>
    <mergeCell ref="BB68:BC68"/>
    <mergeCell ref="BD68:BO68"/>
    <mergeCell ref="K66:AM66"/>
    <mergeCell ref="K67:T67"/>
    <mergeCell ref="AN67:AO67"/>
    <mergeCell ref="AP67:BA67"/>
    <mergeCell ref="BB67:BC67"/>
    <mergeCell ref="BD67:BO67"/>
    <mergeCell ref="AN69:AO69"/>
    <mergeCell ref="AP69:BA69"/>
    <mergeCell ref="BB69:BC69"/>
    <mergeCell ref="BD69:BO69"/>
    <mergeCell ref="BP69:BQ69"/>
    <mergeCell ref="BP70:BQ70"/>
    <mergeCell ref="CD67:CE67"/>
    <mergeCell ref="AN70:AO70"/>
    <mergeCell ref="AP70:BA70"/>
    <mergeCell ref="BB70:BC70"/>
    <mergeCell ref="BD70:BO70"/>
    <mergeCell ref="CF71:CQ71"/>
    <mergeCell ref="CF67:CQ67"/>
    <mergeCell ref="CD68:CE68"/>
    <mergeCell ref="CF68:CQ68"/>
    <mergeCell ref="BR69:CC69"/>
    <mergeCell ref="CD69:CE69"/>
    <mergeCell ref="CF69:CQ69"/>
    <mergeCell ref="BP68:BQ68"/>
    <mergeCell ref="BR68:CC68"/>
    <mergeCell ref="BR70:CC70"/>
    <mergeCell ref="CD70:CE70"/>
    <mergeCell ref="CF70:CQ70"/>
    <mergeCell ref="BP67:BQ67"/>
    <mergeCell ref="BR67:CC67"/>
    <mergeCell ref="AN72:AO72"/>
    <mergeCell ref="BB72:BC72"/>
    <mergeCell ref="BP72:BQ72"/>
    <mergeCell ref="CD72:CE72"/>
    <mergeCell ref="BP73:BQ73"/>
    <mergeCell ref="BR73:CC73"/>
    <mergeCell ref="CD73:CE73"/>
    <mergeCell ref="K71:AM71"/>
    <mergeCell ref="AN71:AO71"/>
    <mergeCell ref="AP71:BA71"/>
    <mergeCell ref="BB71:BC71"/>
    <mergeCell ref="BD71:BO71"/>
    <mergeCell ref="BP71:BQ71"/>
    <mergeCell ref="BR71:CC71"/>
    <mergeCell ref="CD71:CE71"/>
    <mergeCell ref="CF75:CQ75"/>
    <mergeCell ref="CF73:CQ73"/>
    <mergeCell ref="K74:U74"/>
    <mergeCell ref="AN74:AO74"/>
    <mergeCell ref="AP74:BA74"/>
    <mergeCell ref="BB74:BC74"/>
    <mergeCell ref="BD74:BO74"/>
    <mergeCell ref="BP74:BQ74"/>
    <mergeCell ref="BR74:CC74"/>
    <mergeCell ref="CD74:CE74"/>
    <mergeCell ref="CF74:CQ74"/>
    <mergeCell ref="K75:U75"/>
    <mergeCell ref="AN75:AO75"/>
    <mergeCell ref="AP75:BA75"/>
    <mergeCell ref="BB75:BC75"/>
    <mergeCell ref="BD75:BO75"/>
    <mergeCell ref="K73:U73"/>
    <mergeCell ref="AN73:AO73"/>
    <mergeCell ref="AP73:BA73"/>
    <mergeCell ref="BB73:BC73"/>
    <mergeCell ref="BD73:BO73"/>
    <mergeCell ref="BP75:BQ75"/>
    <mergeCell ref="BR75:CC75"/>
    <mergeCell ref="CD75:CE75"/>
    <mergeCell ref="K78:U78"/>
    <mergeCell ref="AN78:AO78"/>
    <mergeCell ref="AP78:BA78"/>
    <mergeCell ref="BB78:BC78"/>
    <mergeCell ref="BD78:BO78"/>
    <mergeCell ref="BP77:BQ77"/>
    <mergeCell ref="BR77:CC77"/>
    <mergeCell ref="CD77:CE77"/>
    <mergeCell ref="CF77:CQ77"/>
    <mergeCell ref="BR78:CC78"/>
    <mergeCell ref="CD78:CE78"/>
    <mergeCell ref="K76:U76"/>
    <mergeCell ref="AN76:AO76"/>
    <mergeCell ref="AP76:BA76"/>
    <mergeCell ref="BB76:BC76"/>
    <mergeCell ref="BD76:BO76"/>
    <mergeCell ref="BP76:BQ76"/>
    <mergeCell ref="K77:U77"/>
    <mergeCell ref="AN77:AO77"/>
    <mergeCell ref="AP77:BA77"/>
    <mergeCell ref="BB77:BC77"/>
    <mergeCell ref="BD77:BO77"/>
    <mergeCell ref="BR76:CC76"/>
    <mergeCell ref="CD76:CE76"/>
    <mergeCell ref="CF76:CQ76"/>
    <mergeCell ref="CF78:CQ78"/>
    <mergeCell ref="BD81:BO81"/>
    <mergeCell ref="BR81:CC81"/>
    <mergeCell ref="CF81:CQ81"/>
    <mergeCell ref="AN80:AO80"/>
    <mergeCell ref="AP80:BA80"/>
    <mergeCell ref="BB80:BC80"/>
    <mergeCell ref="BD80:BO80"/>
    <mergeCell ref="BP80:BQ80"/>
    <mergeCell ref="BR80:CC80"/>
    <mergeCell ref="AN79:AO79"/>
    <mergeCell ref="AP79:BA79"/>
    <mergeCell ref="BB79:BC79"/>
    <mergeCell ref="BP79:BQ79"/>
    <mergeCell ref="CD79:CE79"/>
    <mergeCell ref="BP78:BQ78"/>
  </mergeCells>
  <conditionalFormatting sqref="S97">
    <cfRule type="containsText" dxfId="19" priority="5" operator="containsText" text="Obrazac prazan">
      <formula>NOT(ISERROR(SEARCH("Obrazac prazan",S97)))</formula>
    </cfRule>
  </conditionalFormatting>
  <conditionalFormatting sqref="J97">
    <cfRule type="containsText" dxfId="18" priority="4" operator="containsText" text="Obrazac prazan">
      <formula>NOT(ISERROR(SEARCH("Obrazac prazan",J97)))</formula>
    </cfRule>
  </conditionalFormatting>
  <conditionalFormatting sqref="J51">
    <cfRule type="containsText" dxfId="17" priority="3" operator="containsText" text="Obrazac prazan">
      <formula>NOT(ISERROR(SEARCH("Obrazac prazan",J51)))</formula>
    </cfRule>
  </conditionalFormatting>
  <dataValidations count="2">
    <dataValidation type="textLength" operator="equal" allowBlank="1" showInputMessage="1" showErrorMessage="1" error="Npr. 27.10" sqref="CL62:CO62 BJ62:BM62 BX62:CA62" xr:uid="{00000000-0002-0000-0A00-000000000000}">
      <formula1>5</formula1>
    </dataValidation>
    <dataValidation type="whole" allowBlank="1" showInputMessage="1" showErrorMessage="1" sqref="BT5:CQ10 CF12:CQ26 CF28:CQ40 BT11:CE41 BT43:BY45 BZ43:CQ44 CF45:CQ45 AP67:BA81 BD67:BO81 BR67:CC81 CF67:CQ81" xr:uid="{00000000-0002-0000-0A00-000001000000}">
      <formula1>-9.99999E+307</formula1>
      <formula2>9.99999E+307</formula2>
    </dataValidation>
  </dataValidations>
  <pageMargins left="0.78666666666666663" right="0.19685039370078741" top="0.35625000000000001" bottom="0.27559055118110237" header="0.51181102362204722" footer="0.51181102362204722"/>
  <pageSetup paperSize="9" scale="6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C0DFB82-49F2-4571-8377-BE36066B7332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J1:AW1 CO1:CQ1 J2:CQ84 J85:BX85 BZ85:CP85 J86:CQ91 J97:CQ97</xm:sqref>
        </x14:conditionalFormatting>
        <x14:conditionalFormatting xmlns:xm="http://schemas.microsoft.com/office/excel/2006/main">
          <x14:cfRule type="expression" priority="1" id="{4C665A31-2227-4FD7-8E2E-D89D57B3A7B8}">
            <xm:f>OR(LEFT(OsnPodaci!$A$55,5)="Reviz",LEFT(OsnPodaci!$A$55,6)="Izjava")</xm:f>
            <x14:dxf>
              <fill>
                <patternFill patternType="solid">
                  <bgColor theme="0"/>
                </patternFill>
              </fill>
            </x14:dxf>
          </x14:cfRule>
          <xm:sqref>AR58:AZ58 BF58:BN58 BT58:CB58 CH58:CP58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>
    <tabColor theme="7" tint="-0.499984740745262"/>
    <pageSetUpPr fitToPage="1"/>
  </sheetPr>
  <dimension ref="A1:BH43"/>
  <sheetViews>
    <sheetView showGridLines="0" view="pageLayout" topLeftCell="J10" zoomScale="70" zoomScaleNormal="100" zoomScalePageLayoutView="70" workbookViewId="0">
      <selection activeCell="AW22" sqref="AW22:BA22"/>
    </sheetView>
  </sheetViews>
  <sheetFormatPr defaultColWidth="2.5703125" defaultRowHeight="20.25"/>
  <cols>
    <col min="1" max="4" width="5.42578125" hidden="1" customWidth="1"/>
    <col min="5" max="5" width="9.140625" hidden="1" customWidth="1"/>
    <col min="6" max="6" width="6.140625" hidden="1" customWidth="1"/>
    <col min="7" max="7" width="20.28515625" hidden="1" customWidth="1"/>
    <col min="8" max="8" width="17.28515625" hidden="1" customWidth="1"/>
    <col min="9" max="9" width="44" hidden="1" customWidth="1"/>
    <col min="10" max="11" width="3.7109375" style="65" customWidth="1"/>
    <col min="12" max="15" width="4.7109375" style="65" customWidth="1"/>
    <col min="16" max="16" width="4.7109375" style="66" customWidth="1"/>
    <col min="17" max="29" width="4.7109375" style="65" customWidth="1"/>
    <col min="30" max="38" width="3.28515625" style="65" customWidth="1"/>
    <col min="39" max="39" width="1.5703125" style="65" customWidth="1"/>
    <col min="40" max="40" width="4.7109375" style="65" customWidth="1"/>
    <col min="41" max="42" width="3.85546875" style="65" customWidth="1"/>
    <col min="43" max="43" width="4.140625" style="65" customWidth="1"/>
    <col min="44" max="52" width="3.28515625" style="65" customWidth="1"/>
    <col min="53" max="53" width="6" style="65" customWidth="1"/>
    <col min="54" max="60" width="3.28515625" style="65" customWidth="1"/>
    <col min="61" max="62" width="2.5703125" style="65" customWidth="1"/>
    <col min="63" max="16384" width="2.5703125" style="65"/>
  </cols>
  <sheetData>
    <row r="1" spans="10:60" ht="21.75">
      <c r="J1" s="281" t="str">
        <f>IF(OsnPodaci!$B$4="","",OsnPodaci!B4)</f>
        <v>ZIF " prevent INVEST " d.d.</v>
      </c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745" t="s">
        <v>2616</v>
      </c>
    </row>
    <row r="2" spans="10:60" ht="22.5" customHeight="1">
      <c r="J2" s="746" t="s">
        <v>2617</v>
      </c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</row>
    <row r="3" spans="10:60" ht="21.75"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6"/>
      <c r="AM3" s="286"/>
      <c r="AN3" s="282"/>
      <c r="AO3" s="282"/>
      <c r="AP3" s="282"/>
      <c r="AQ3" s="282"/>
      <c r="AR3" s="282"/>
      <c r="AS3" s="286"/>
      <c r="AT3" s="282"/>
      <c r="AU3" s="282"/>
      <c r="AV3" s="282"/>
      <c r="AW3" s="282"/>
      <c r="AX3" s="282"/>
      <c r="AY3" s="286"/>
      <c r="AZ3" s="286"/>
      <c r="BA3" s="286"/>
      <c r="BB3" s="286"/>
      <c r="BC3" s="286"/>
      <c r="BD3" s="286"/>
      <c r="BE3" s="286"/>
      <c r="BF3" s="286"/>
      <c r="BG3" s="282"/>
      <c r="BH3" s="282"/>
    </row>
    <row r="4" spans="10:60" ht="21.75">
      <c r="J4" s="287" t="str">
        <f>IF(OsnPodaci!$A$4="","",OsnPodaci!$A$4)</f>
        <v>4200191740002</v>
      </c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747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8"/>
      <c r="BA4" s="288"/>
      <c r="BB4" s="288"/>
      <c r="BC4" s="286"/>
      <c r="BD4" s="286"/>
      <c r="BE4" s="286"/>
      <c r="BF4" s="286"/>
      <c r="BG4" s="286"/>
      <c r="BH4" s="288" t="str">
        <f>IF(OsnPodaci!A19="","",OsnPodaci!A19)</f>
        <v>64.30</v>
      </c>
    </row>
    <row r="5" spans="10:60" ht="21.75">
      <c r="J5" s="746" t="s">
        <v>2618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6"/>
      <c r="BA5" s="286"/>
      <c r="BB5" s="286"/>
      <c r="BC5" s="286"/>
      <c r="BD5" s="286"/>
      <c r="BE5" s="286"/>
      <c r="BF5" s="286"/>
      <c r="BG5" s="286"/>
      <c r="BH5" s="748" t="s">
        <v>2619</v>
      </c>
    </row>
    <row r="6" spans="10:60" ht="21.75">
      <c r="J6" s="290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6"/>
      <c r="AZ6" s="286"/>
      <c r="BA6" s="286"/>
      <c r="BB6" s="286"/>
      <c r="BC6" s="286"/>
      <c r="BD6" s="286"/>
      <c r="BE6" s="286"/>
      <c r="BF6" s="286"/>
      <c r="BG6" s="286"/>
      <c r="BH6" s="286"/>
    </row>
    <row r="7" spans="10:60" ht="21.75">
      <c r="J7" s="749" t="str">
        <f>CONCATENATE(OsnPodaci!A10,", ",OsnPodaci!A13)</f>
        <v>Sarajevo-Novi Grad, Bulevar Meše Selimovića 16</v>
      </c>
      <c r="K7" s="282"/>
      <c r="L7" s="282"/>
      <c r="M7" s="282"/>
      <c r="N7" s="282"/>
      <c r="O7" s="282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5"/>
      <c r="AS7" s="285"/>
      <c r="AT7" s="282"/>
      <c r="AU7" s="282"/>
      <c r="AV7" s="282"/>
      <c r="AW7" s="282"/>
      <c r="AX7" s="285"/>
      <c r="AY7" s="1347" t="str">
        <f>IF(LEN(OsnPodaci!$B$34)=8,TEXT(OsnPodaci!$B$34,"\000\/000-000"),IF(LEN(OsnPodaci!$B$34)=9,TEXT(OsnPodaci!$B$34,"\0??\/000-0000"),"-"))</f>
        <v>-</v>
      </c>
      <c r="AZ7" s="1347"/>
      <c r="BA7" s="1347"/>
      <c r="BB7" s="1347"/>
      <c r="BC7" s="1347"/>
      <c r="BD7" s="1347"/>
      <c r="BE7" s="1347"/>
      <c r="BF7" s="1347"/>
      <c r="BG7" s="1347"/>
      <c r="BH7" s="1347"/>
    </row>
    <row r="8" spans="10:60" ht="21.75">
      <c r="J8" s="746" t="s">
        <v>2620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5"/>
      <c r="AS8" s="285"/>
      <c r="AT8" s="282"/>
      <c r="AU8" s="282"/>
      <c r="AV8" s="282"/>
      <c r="AW8" s="282"/>
      <c r="AX8" s="285"/>
      <c r="AY8" s="282"/>
      <c r="AZ8" s="289"/>
      <c r="BA8" s="289"/>
      <c r="BB8" s="286"/>
      <c r="BC8" s="286"/>
      <c r="BD8" s="286"/>
      <c r="BE8" s="286"/>
      <c r="BF8" s="286"/>
      <c r="BG8" s="286"/>
      <c r="BH8" s="748" t="s">
        <v>2621</v>
      </c>
    </row>
    <row r="9" spans="10:60" ht="6.75" customHeight="1"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3"/>
      <c r="AC9" s="292"/>
      <c r="AD9" s="292"/>
      <c r="AE9" s="292"/>
      <c r="AF9" s="292"/>
      <c r="AG9" s="292"/>
      <c r="AH9" s="294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4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</row>
    <row r="10" spans="10:60" ht="1.5" customHeight="1"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4"/>
      <c r="AC10" s="294"/>
      <c r="AD10" s="294"/>
      <c r="AE10" s="295"/>
      <c r="AF10" s="295"/>
      <c r="AG10" s="296"/>
      <c r="AH10" s="296"/>
      <c r="AI10" s="294"/>
      <c r="AJ10" s="294"/>
      <c r="AK10" s="294"/>
      <c r="AL10" s="294"/>
      <c r="AM10" s="294"/>
      <c r="AN10" s="295"/>
      <c r="AO10" s="295"/>
      <c r="AP10" s="294"/>
      <c r="AQ10" s="294"/>
      <c r="AR10" s="294"/>
      <c r="AS10" s="294"/>
      <c r="AT10" s="295"/>
      <c r="AU10" s="295"/>
      <c r="AV10" s="296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</row>
    <row r="11" spans="10:60" ht="1.5" customHeight="1"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4"/>
      <c r="AC11" s="294"/>
      <c r="AD11" s="294"/>
      <c r="AE11" s="295"/>
      <c r="AF11" s="295"/>
      <c r="AG11" s="295"/>
      <c r="AH11" s="296"/>
      <c r="AI11" s="294"/>
      <c r="AJ11" s="294"/>
      <c r="AK11" s="294"/>
      <c r="AL11" s="294"/>
      <c r="AM11" s="294"/>
      <c r="AN11" s="295"/>
      <c r="AO11" s="295"/>
      <c r="AP11" s="294"/>
      <c r="AQ11" s="294"/>
      <c r="AR11" s="294"/>
      <c r="AS11" s="294"/>
      <c r="AT11" s="295"/>
      <c r="AU11" s="295"/>
      <c r="AV11" s="296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</row>
    <row r="12" spans="10:60" ht="1.5" customHeight="1"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</row>
    <row r="13" spans="10:60" s="67" customFormat="1" ht="6.75" customHeight="1"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</row>
    <row r="14" spans="10:60" ht="24.75" customHeight="1">
      <c r="J14" s="1486" t="s">
        <v>2622</v>
      </c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1486"/>
      <c r="AJ14" s="1486"/>
      <c r="AK14" s="1486"/>
      <c r="AL14" s="1486"/>
      <c r="AM14" s="1486"/>
      <c r="AN14" s="1486"/>
      <c r="AO14" s="1486"/>
      <c r="AP14" s="1486"/>
      <c r="AQ14" s="1486"/>
      <c r="AR14" s="1486"/>
      <c r="AS14" s="1486"/>
      <c r="AT14" s="1486"/>
      <c r="AU14" s="1486"/>
      <c r="AV14" s="1486"/>
      <c r="AW14" s="1486"/>
      <c r="AX14" s="1486"/>
      <c r="AY14" s="1486"/>
      <c r="AZ14" s="1486"/>
      <c r="BA14" s="1486"/>
      <c r="BB14" s="1486"/>
      <c r="BC14" s="1486"/>
      <c r="BD14" s="1486"/>
      <c r="BE14" s="1486"/>
      <c r="BF14" s="1486"/>
      <c r="BG14" s="1486"/>
      <c r="BH14" s="1486"/>
    </row>
    <row r="15" spans="10:60" ht="23.25" customHeight="1">
      <c r="J15" s="1532" t="str">
        <f>CONCATENATE("IZVJEŠTAJ ZA PERIOD OD ",DAY(OsnPodaci!A58),".",MONTH(OsnPodaci!A58),".",YEAR(OsnPodaci!A58),". do ",DAY(OsnPodaci!B58),".",MONTH(OsnPodaci!B58),".",YEAR(OsnPodaci!B58),". GODINE")</f>
        <v>IZVJEŠTAJ ZA PERIOD OD 1.1.2022. do 31.12.2022. GODINE</v>
      </c>
      <c r="K15" s="1532"/>
      <c r="L15" s="1532"/>
      <c r="M15" s="1532"/>
      <c r="N15" s="1532"/>
      <c r="O15" s="1532"/>
      <c r="P15" s="1532"/>
      <c r="Q15" s="1532"/>
      <c r="R15" s="1532"/>
      <c r="S15" s="1532"/>
      <c r="T15" s="1532"/>
      <c r="U15" s="1532"/>
      <c r="V15" s="1532"/>
      <c r="W15" s="1532"/>
      <c r="X15" s="1532"/>
      <c r="Y15" s="1532"/>
      <c r="Z15" s="1532"/>
      <c r="AA15" s="1532"/>
      <c r="AB15" s="1532"/>
      <c r="AC15" s="1532"/>
      <c r="AD15" s="1532"/>
      <c r="AE15" s="1532"/>
      <c r="AF15" s="1532"/>
      <c r="AG15" s="1532"/>
      <c r="AH15" s="1532"/>
      <c r="AI15" s="1532"/>
      <c r="AJ15" s="1532"/>
      <c r="AK15" s="1532"/>
      <c r="AL15" s="1532"/>
      <c r="AM15" s="1532"/>
      <c r="AN15" s="1532"/>
      <c r="AO15" s="1532"/>
      <c r="AP15" s="1532"/>
      <c r="AQ15" s="1532"/>
      <c r="AR15" s="1532"/>
      <c r="AS15" s="1532"/>
      <c r="AT15" s="1532"/>
      <c r="AU15" s="1532"/>
      <c r="AV15" s="1532"/>
      <c r="AW15" s="1532"/>
      <c r="AX15" s="1532"/>
      <c r="AY15" s="1532"/>
      <c r="AZ15" s="1532"/>
      <c r="BA15" s="1532"/>
      <c r="BB15" s="1532"/>
      <c r="BC15" s="1532"/>
      <c r="BD15" s="1532"/>
      <c r="BE15" s="1532"/>
      <c r="BF15" s="1532"/>
      <c r="BG15" s="1532"/>
      <c r="BH15" s="1532"/>
    </row>
    <row r="16" spans="10:60" ht="15" customHeight="1">
      <c r="J16" s="299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K16" s="295"/>
      <c r="L16" s="295"/>
      <c r="M16" s="295"/>
      <c r="N16" s="295"/>
      <c r="O16" s="295"/>
      <c r="P16" s="292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3"/>
    </row>
    <row r="17" spans="1:60" ht="27.75" customHeight="1">
      <c r="J17" s="1526" t="s">
        <v>2623</v>
      </c>
      <c r="K17" s="1497"/>
      <c r="L17" s="1511" t="s">
        <v>2624</v>
      </c>
      <c r="M17" s="1512"/>
      <c r="N17" s="1512"/>
      <c r="O17" s="1512"/>
      <c r="P17" s="1512"/>
      <c r="Q17" s="1512"/>
      <c r="R17" s="1512"/>
      <c r="S17" s="1512"/>
      <c r="T17" s="1512"/>
      <c r="U17" s="1512"/>
      <c r="V17" s="1512"/>
      <c r="W17" s="1512"/>
      <c r="X17" s="1512"/>
      <c r="Y17" s="1512"/>
      <c r="Z17" s="1512"/>
      <c r="AA17" s="1512"/>
      <c r="AB17" s="1512"/>
      <c r="AC17" s="1513"/>
      <c r="AD17" s="1496" t="s">
        <v>2625</v>
      </c>
      <c r="AE17" s="1496"/>
      <c r="AF17" s="1496"/>
      <c r="AG17" s="1497"/>
      <c r="AH17" s="1502" t="s">
        <v>2626</v>
      </c>
      <c r="AI17" s="1503"/>
      <c r="AJ17" s="1503"/>
      <c r="AK17" s="1503"/>
      <c r="AL17" s="1503"/>
      <c r="AM17" s="1504"/>
      <c r="AN17" s="1487" t="s">
        <v>2627</v>
      </c>
      <c r="AO17" s="1488"/>
      <c r="AP17" s="1488"/>
      <c r="AQ17" s="1489"/>
      <c r="AR17" s="1487" t="s">
        <v>2628</v>
      </c>
      <c r="AS17" s="1488"/>
      <c r="AT17" s="1488"/>
      <c r="AU17" s="1488"/>
      <c r="AV17" s="1489"/>
      <c r="AW17" s="1487" t="s">
        <v>2629</v>
      </c>
      <c r="AX17" s="1488"/>
      <c r="AY17" s="1488"/>
      <c r="AZ17" s="1488"/>
      <c r="BA17" s="1489"/>
      <c r="BB17" s="1529" t="s">
        <v>2630</v>
      </c>
      <c r="BC17" s="1530"/>
      <c r="BD17" s="1530"/>
      <c r="BE17" s="1530"/>
      <c r="BF17" s="1530"/>
      <c r="BG17" s="1530"/>
      <c r="BH17" s="1531"/>
    </row>
    <row r="18" spans="1:60" ht="27.75" customHeight="1">
      <c r="J18" s="1527"/>
      <c r="K18" s="1499"/>
      <c r="L18" s="1514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6"/>
      <c r="AD18" s="1498"/>
      <c r="AE18" s="1498"/>
      <c r="AF18" s="1498"/>
      <c r="AG18" s="1499"/>
      <c r="AH18" s="1505"/>
      <c r="AI18" s="1506"/>
      <c r="AJ18" s="1506"/>
      <c r="AK18" s="1506"/>
      <c r="AL18" s="1506"/>
      <c r="AM18" s="1507"/>
      <c r="AN18" s="1490"/>
      <c r="AO18" s="1491"/>
      <c r="AP18" s="1491"/>
      <c r="AQ18" s="1492"/>
      <c r="AR18" s="1490"/>
      <c r="AS18" s="1491"/>
      <c r="AT18" s="1491"/>
      <c r="AU18" s="1491"/>
      <c r="AV18" s="1492"/>
      <c r="AW18" s="1490"/>
      <c r="AX18" s="1491"/>
      <c r="AY18" s="1491"/>
      <c r="AZ18" s="1491"/>
      <c r="BA18" s="1492"/>
      <c r="BB18" s="1523" t="s">
        <v>2631</v>
      </c>
      <c r="BC18" s="1524"/>
      <c r="BD18" s="1524"/>
      <c r="BE18" s="1524"/>
      <c r="BF18" s="1524"/>
      <c r="BG18" s="1524"/>
      <c r="BH18" s="1525"/>
    </row>
    <row r="19" spans="1:60" ht="25.5" customHeight="1">
      <c r="J19" s="1528"/>
      <c r="K19" s="1501"/>
      <c r="L19" s="1517"/>
      <c r="M19" s="1518"/>
      <c r="N19" s="1518"/>
      <c r="O19" s="1518"/>
      <c r="P19" s="1518"/>
      <c r="Q19" s="1518"/>
      <c r="R19" s="1518"/>
      <c r="S19" s="1518"/>
      <c r="T19" s="1518"/>
      <c r="U19" s="1518"/>
      <c r="V19" s="1518"/>
      <c r="W19" s="1518"/>
      <c r="X19" s="1518"/>
      <c r="Y19" s="1518"/>
      <c r="Z19" s="1518"/>
      <c r="AA19" s="1518"/>
      <c r="AB19" s="1518"/>
      <c r="AC19" s="1519"/>
      <c r="AD19" s="1500"/>
      <c r="AE19" s="1500"/>
      <c r="AF19" s="1500"/>
      <c r="AG19" s="1501"/>
      <c r="AH19" s="1508"/>
      <c r="AI19" s="1509"/>
      <c r="AJ19" s="1509"/>
      <c r="AK19" s="1509"/>
      <c r="AL19" s="1509"/>
      <c r="AM19" s="1510"/>
      <c r="AN19" s="1493"/>
      <c r="AO19" s="1494"/>
      <c r="AP19" s="1494"/>
      <c r="AQ19" s="1495"/>
      <c r="AR19" s="1508" t="s">
        <v>2632</v>
      </c>
      <c r="AS19" s="1509"/>
      <c r="AT19" s="1509"/>
      <c r="AU19" s="1509"/>
      <c r="AV19" s="1510"/>
      <c r="AW19" s="1508" t="s">
        <v>2633</v>
      </c>
      <c r="AX19" s="1509"/>
      <c r="AY19" s="1509"/>
      <c r="AZ19" s="1509"/>
      <c r="BA19" s="1510"/>
      <c r="BB19" s="1520" t="s">
        <v>2634</v>
      </c>
      <c r="BC19" s="1521"/>
      <c r="BD19" s="1521"/>
      <c r="BE19" s="1521"/>
      <c r="BF19" s="1521"/>
      <c r="BG19" s="1521"/>
      <c r="BH19" s="1522"/>
    </row>
    <row r="20" spans="1:60" s="68" customFormat="1">
      <c r="J20" s="1392">
        <v>1</v>
      </c>
      <c r="K20" s="1393"/>
      <c r="L20" s="1394">
        <v>2</v>
      </c>
      <c r="M20" s="1355"/>
      <c r="N20" s="1355"/>
      <c r="O20" s="1355"/>
      <c r="P20" s="1355"/>
      <c r="Q20" s="1355"/>
      <c r="R20" s="1355"/>
      <c r="S20" s="1355"/>
      <c r="T20" s="1355"/>
      <c r="U20" s="1355"/>
      <c r="V20" s="1355"/>
      <c r="W20" s="1355"/>
      <c r="X20" s="1355"/>
      <c r="Y20" s="1355"/>
      <c r="Z20" s="1355"/>
      <c r="AA20" s="1355"/>
      <c r="AB20" s="1355"/>
      <c r="AC20" s="1393"/>
      <c r="AD20" s="1354">
        <v>3</v>
      </c>
      <c r="AE20" s="1355"/>
      <c r="AF20" s="1355"/>
      <c r="AG20" s="1393"/>
      <c r="AH20" s="1363">
        <v>4</v>
      </c>
      <c r="AI20" s="1364"/>
      <c r="AJ20" s="1364"/>
      <c r="AK20" s="1364"/>
      <c r="AL20" s="1364"/>
      <c r="AM20" s="1365"/>
      <c r="AN20" s="1363">
        <v>5</v>
      </c>
      <c r="AO20" s="1364"/>
      <c r="AP20" s="1364"/>
      <c r="AQ20" s="1365"/>
      <c r="AR20" s="1363">
        <v>6</v>
      </c>
      <c r="AS20" s="1364"/>
      <c r="AT20" s="1364"/>
      <c r="AU20" s="1364"/>
      <c r="AV20" s="1365"/>
      <c r="AW20" s="1363">
        <v>7</v>
      </c>
      <c r="AX20" s="1364"/>
      <c r="AY20" s="1364"/>
      <c r="AZ20" s="1364"/>
      <c r="BA20" s="1365"/>
      <c r="BB20" s="1354">
        <v>8</v>
      </c>
      <c r="BC20" s="1355"/>
      <c r="BD20" s="1355"/>
      <c r="BE20" s="1355"/>
      <c r="BF20" s="1355"/>
      <c r="BG20" s="1355"/>
      <c r="BH20" s="1356"/>
    </row>
    <row r="21" spans="1:60" ht="21" customHeight="1">
      <c r="A21">
        <v>0.01</v>
      </c>
      <c r="B21">
        <v>0.17</v>
      </c>
      <c r="C21">
        <v>0.33000000000000013</v>
      </c>
      <c r="D21">
        <v>0.49000000000000027</v>
      </c>
      <c r="E21">
        <v>0.65000000000000036</v>
      </c>
      <c r="F21">
        <f t="shared" ref="F21:F35" si="0">IF(LEN(AH21)=0,"",1+ABS((AH21*A21)/LEN(AH21))+A21)</f>
        <v>55.854137499999993</v>
      </c>
      <c r="G21">
        <f t="shared" ref="G21:G36" si="1">IF(LEN(AR21)=0,"",1+ABS((AR21*B21)/LEN(AR21))+B21)</f>
        <v>7.385766666666667</v>
      </c>
      <c r="H21">
        <f t="shared" ref="H21:H36" si="2">IF(LEN(AW21)=0,"",1+ABS((AW21*C21)/LEN(AW21))+C21)</f>
        <v>13.395900000000005</v>
      </c>
      <c r="I21">
        <f t="shared" ref="I21:I36" si="3">IF(LEN(BB21)=0,"",1+ABS((BB21*D21)/LEN(BB21))+D21)</f>
        <v>1.4900000000000002</v>
      </c>
      <c r="J21" s="1395" t="s">
        <v>2091</v>
      </c>
      <c r="K21" s="1396"/>
      <c r="L21" s="1410" t="s">
        <v>2635</v>
      </c>
      <c r="M21" s="1411"/>
      <c r="N21" s="1411"/>
      <c r="O21" s="1411"/>
      <c r="P21" s="1411"/>
      <c r="Q21" s="1412"/>
      <c r="R21" s="1416" t="s">
        <v>2636</v>
      </c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8"/>
      <c r="AD21" s="1387" t="s">
        <v>2637</v>
      </c>
      <c r="AE21" s="1388"/>
      <c r="AF21" s="1388"/>
      <c r="AG21" s="1389"/>
      <c r="AH21" s="1351">
        <v>43875.31</v>
      </c>
      <c r="AI21" s="1352"/>
      <c r="AJ21" s="1352"/>
      <c r="AK21" s="1352"/>
      <c r="AL21" s="1352"/>
      <c r="AM21" s="1353"/>
      <c r="AN21" s="1359">
        <v>0.5</v>
      </c>
      <c r="AO21" s="1360"/>
      <c r="AP21" s="1357" t="s">
        <v>2638</v>
      </c>
      <c r="AQ21" s="1358"/>
      <c r="AR21" s="1370">
        <f>IF(AH21="","",ROUND(AH21*AN21%,2))</f>
        <v>219.38</v>
      </c>
      <c r="AS21" s="1371"/>
      <c r="AT21" s="1371"/>
      <c r="AU21" s="1371"/>
      <c r="AV21" s="1372"/>
      <c r="AW21" s="1373">
        <v>219.38</v>
      </c>
      <c r="AX21" s="1374"/>
      <c r="AY21" s="1374"/>
      <c r="AZ21" s="1374"/>
      <c r="BA21" s="1375"/>
      <c r="BB21" s="1483">
        <f>IF(ISERROR(AR21-AW21),"",AR21-AW21)</f>
        <v>0</v>
      </c>
      <c r="BC21" s="1484"/>
      <c r="BD21" s="1484"/>
      <c r="BE21" s="1484"/>
      <c r="BF21" s="1484"/>
      <c r="BG21" s="1484"/>
      <c r="BH21" s="1485"/>
    </row>
    <row r="22" spans="1:60" ht="21" customHeight="1">
      <c r="A22">
        <v>0.02</v>
      </c>
      <c r="B22">
        <v>0.18000000000000002</v>
      </c>
      <c r="C22">
        <v>0.34000000000000014</v>
      </c>
      <c r="D22">
        <v>0.50000000000000022</v>
      </c>
      <c r="E22">
        <v>0.66000000000000036</v>
      </c>
      <c r="F22">
        <f t="shared" si="0"/>
        <v>56.220000000000006</v>
      </c>
      <c r="G22">
        <f t="shared" si="1"/>
        <v>7.3900000000000006</v>
      </c>
      <c r="H22">
        <f t="shared" si="2"/>
        <v>13.070000000000004</v>
      </c>
      <c r="I22">
        <f t="shared" si="3"/>
        <v>1.5000000000000002</v>
      </c>
      <c r="J22" s="1397"/>
      <c r="K22" s="1398"/>
      <c r="L22" s="1413"/>
      <c r="M22" s="1414"/>
      <c r="N22" s="1414"/>
      <c r="O22" s="1414"/>
      <c r="P22" s="1414"/>
      <c r="Q22" s="1415"/>
      <c r="R22" s="1399" t="s">
        <v>2639</v>
      </c>
      <c r="S22" s="1400"/>
      <c r="T22" s="1400"/>
      <c r="U22" s="1400"/>
      <c r="V22" s="1400"/>
      <c r="W22" s="1400"/>
      <c r="X22" s="1400"/>
      <c r="Y22" s="1400"/>
      <c r="Z22" s="1400"/>
      <c r="AA22" s="1400"/>
      <c r="AB22" s="1400"/>
      <c r="AC22" s="1401"/>
      <c r="AD22" s="1402" t="s">
        <v>2637</v>
      </c>
      <c r="AE22" s="1403"/>
      <c r="AF22" s="1403"/>
      <c r="AG22" s="1404"/>
      <c r="AH22" s="1376">
        <v>13800</v>
      </c>
      <c r="AI22" s="1377"/>
      <c r="AJ22" s="1377"/>
      <c r="AK22" s="1377"/>
      <c r="AL22" s="1377"/>
      <c r="AM22" s="1378"/>
      <c r="AN22" s="1368">
        <v>0.5</v>
      </c>
      <c r="AO22" s="1369"/>
      <c r="AP22" s="1379" t="s">
        <v>2638</v>
      </c>
      <c r="AQ22" s="1380"/>
      <c r="AR22" s="1366">
        <f>IF(AH22="","",ROUND(AH22*AN22%,2))</f>
        <v>69</v>
      </c>
      <c r="AS22" s="1366"/>
      <c r="AT22" s="1366"/>
      <c r="AU22" s="1366"/>
      <c r="AV22" s="1381"/>
      <c r="AW22" s="1382">
        <v>69</v>
      </c>
      <c r="AX22" s="1383"/>
      <c r="AY22" s="1383"/>
      <c r="AZ22" s="1383"/>
      <c r="BA22" s="1384"/>
      <c r="BB22" s="1366">
        <f t="shared" ref="BB22:BB35" si="4">IF(ISERROR(AR22-AW22),"",AR22-AW22)</f>
        <v>0</v>
      </c>
      <c r="BC22" s="1366"/>
      <c r="BD22" s="1366"/>
      <c r="BE22" s="1366"/>
      <c r="BF22" s="1366"/>
      <c r="BG22" s="1366"/>
      <c r="BH22" s="1367"/>
    </row>
    <row r="23" spans="1:60" ht="21" customHeight="1">
      <c r="A23">
        <v>0.03</v>
      </c>
      <c r="B23">
        <v>0.19000000000000003</v>
      </c>
      <c r="C23">
        <v>0.35000000000000014</v>
      </c>
      <c r="D23">
        <v>0.51000000000000023</v>
      </c>
      <c r="E23">
        <v>0.67000000000000037</v>
      </c>
      <c r="F23" t="str">
        <f t="shared" si="0"/>
        <v/>
      </c>
      <c r="G23" t="str">
        <f t="shared" si="1"/>
        <v/>
      </c>
      <c r="H23" t="str">
        <f t="shared" si="2"/>
        <v/>
      </c>
      <c r="I23" t="str">
        <f t="shared" si="3"/>
        <v/>
      </c>
      <c r="J23" s="1437" t="s">
        <v>2093</v>
      </c>
      <c r="K23" s="1438"/>
      <c r="L23" s="1428" t="s">
        <v>2640</v>
      </c>
      <c r="M23" s="1419" t="s">
        <v>2641</v>
      </c>
      <c r="N23" s="1420"/>
      <c r="O23" s="1420"/>
      <c r="P23" s="1420"/>
      <c r="Q23" s="1421"/>
      <c r="R23" s="1431" t="s">
        <v>2642</v>
      </c>
      <c r="S23" s="1417"/>
      <c r="T23" s="1417"/>
      <c r="U23" s="1417"/>
      <c r="V23" s="1417"/>
      <c r="W23" s="1417"/>
      <c r="X23" s="1417"/>
      <c r="Y23" s="1417"/>
      <c r="Z23" s="1417"/>
      <c r="AA23" s="1417"/>
      <c r="AB23" s="1417"/>
      <c r="AC23" s="1418"/>
      <c r="AD23" s="1387" t="s">
        <v>2643</v>
      </c>
      <c r="AE23" s="1388"/>
      <c r="AF23" s="1388"/>
      <c r="AG23" s="1389"/>
      <c r="AH23" s="1351"/>
      <c r="AI23" s="1352"/>
      <c r="AJ23" s="1352"/>
      <c r="AK23" s="1352"/>
      <c r="AL23" s="1352"/>
      <c r="AM23" s="1353"/>
      <c r="AN23" s="1359">
        <v>0.01</v>
      </c>
      <c r="AO23" s="1360"/>
      <c r="AP23" s="1357"/>
      <c r="AQ23" s="1358"/>
      <c r="AR23" s="1385" t="str">
        <f t="shared" ref="AR23:AR35" si="5">IF(AH23="","",ROUND(AH23*AN23,2))</f>
        <v/>
      </c>
      <c r="AS23" s="1385"/>
      <c r="AT23" s="1385"/>
      <c r="AU23" s="1385"/>
      <c r="AV23" s="1386"/>
      <c r="AW23" s="1373"/>
      <c r="AX23" s="1374"/>
      <c r="AY23" s="1374"/>
      <c r="AZ23" s="1374"/>
      <c r="BA23" s="1375"/>
      <c r="BB23" s="1390" t="str">
        <f t="shared" si="4"/>
        <v/>
      </c>
      <c r="BC23" s="1385"/>
      <c r="BD23" s="1385"/>
      <c r="BE23" s="1385"/>
      <c r="BF23" s="1385"/>
      <c r="BG23" s="1385"/>
      <c r="BH23" s="1391"/>
    </row>
    <row r="24" spans="1:60" ht="21" customHeight="1">
      <c r="A24">
        <v>0.04</v>
      </c>
      <c r="B24">
        <v>0.20000000000000004</v>
      </c>
      <c r="C24">
        <v>0.36000000000000015</v>
      </c>
      <c r="D24">
        <v>0.52000000000000024</v>
      </c>
      <c r="E24">
        <v>0.68000000000000038</v>
      </c>
      <c r="F24" t="str">
        <f t="shared" si="0"/>
        <v/>
      </c>
      <c r="G24" t="str">
        <f t="shared" si="1"/>
        <v/>
      </c>
      <c r="H24" t="str">
        <f t="shared" si="2"/>
        <v/>
      </c>
      <c r="I24" t="str">
        <f t="shared" si="3"/>
        <v/>
      </c>
      <c r="J24" s="1439"/>
      <c r="K24" s="1440"/>
      <c r="L24" s="1429"/>
      <c r="M24" s="1422"/>
      <c r="N24" s="1423"/>
      <c r="O24" s="1423"/>
      <c r="P24" s="1423"/>
      <c r="Q24" s="1424"/>
      <c r="R24" s="1432" t="s">
        <v>2644</v>
      </c>
      <c r="S24" s="1433"/>
      <c r="T24" s="1433"/>
      <c r="U24" s="1433"/>
      <c r="V24" s="1433"/>
      <c r="W24" s="1433"/>
      <c r="X24" s="1433"/>
      <c r="Y24" s="1433"/>
      <c r="Z24" s="1433"/>
      <c r="AA24" s="1433"/>
      <c r="AB24" s="1433"/>
      <c r="AC24" s="1434"/>
      <c r="AD24" s="1348" t="s">
        <v>2643</v>
      </c>
      <c r="AE24" s="1349"/>
      <c r="AF24" s="1349"/>
      <c r="AG24" s="1350"/>
      <c r="AH24" s="1405"/>
      <c r="AI24" s="1406"/>
      <c r="AJ24" s="1406"/>
      <c r="AK24" s="1406"/>
      <c r="AL24" s="1406"/>
      <c r="AM24" s="1407"/>
      <c r="AN24" s="1361">
        <v>2</v>
      </c>
      <c r="AO24" s="1362"/>
      <c r="AP24" s="1408"/>
      <c r="AQ24" s="1409"/>
      <c r="AR24" s="1452" t="str">
        <f t="shared" si="5"/>
        <v/>
      </c>
      <c r="AS24" s="1452"/>
      <c r="AT24" s="1452"/>
      <c r="AU24" s="1452"/>
      <c r="AV24" s="1457"/>
      <c r="AW24" s="1454"/>
      <c r="AX24" s="1455"/>
      <c r="AY24" s="1455"/>
      <c r="AZ24" s="1455"/>
      <c r="BA24" s="1456"/>
      <c r="BB24" s="1451" t="str">
        <f t="shared" si="4"/>
        <v/>
      </c>
      <c r="BC24" s="1452"/>
      <c r="BD24" s="1452"/>
      <c r="BE24" s="1452"/>
      <c r="BF24" s="1452"/>
      <c r="BG24" s="1452"/>
      <c r="BH24" s="1453"/>
    </row>
    <row r="25" spans="1:60" ht="21" customHeight="1">
      <c r="A25">
        <v>0.05</v>
      </c>
      <c r="B25">
        <v>0.21000000000000005</v>
      </c>
      <c r="C25">
        <v>0.37000000000000016</v>
      </c>
      <c r="D25">
        <v>0.53000000000000025</v>
      </c>
      <c r="E25">
        <v>0.69000000000000039</v>
      </c>
      <c r="F25" t="str">
        <f t="shared" si="0"/>
        <v/>
      </c>
      <c r="G25" t="str">
        <f t="shared" si="1"/>
        <v/>
      </c>
      <c r="H25" t="str">
        <f t="shared" si="2"/>
        <v/>
      </c>
      <c r="I25" t="str">
        <f t="shared" si="3"/>
        <v/>
      </c>
      <c r="J25" s="1439"/>
      <c r="K25" s="1440"/>
      <c r="L25" s="1429"/>
      <c r="M25" s="1422"/>
      <c r="N25" s="1423"/>
      <c r="O25" s="1423"/>
      <c r="P25" s="1423"/>
      <c r="Q25" s="1424"/>
      <c r="R25" s="1432" t="s">
        <v>2645</v>
      </c>
      <c r="S25" s="1433"/>
      <c r="T25" s="1433"/>
      <c r="U25" s="1433"/>
      <c r="V25" s="1433"/>
      <c r="W25" s="1433"/>
      <c r="X25" s="1433"/>
      <c r="Y25" s="1433"/>
      <c r="Z25" s="1433"/>
      <c r="AA25" s="1433"/>
      <c r="AB25" s="1433"/>
      <c r="AC25" s="1434"/>
      <c r="AD25" s="1348" t="s">
        <v>2643</v>
      </c>
      <c r="AE25" s="1349"/>
      <c r="AF25" s="1349"/>
      <c r="AG25" s="1350"/>
      <c r="AH25" s="1405"/>
      <c r="AI25" s="1406"/>
      <c r="AJ25" s="1406"/>
      <c r="AK25" s="1406"/>
      <c r="AL25" s="1406"/>
      <c r="AM25" s="1407"/>
      <c r="AN25" s="1361">
        <v>0.03</v>
      </c>
      <c r="AO25" s="1362"/>
      <c r="AP25" s="1408"/>
      <c r="AQ25" s="1409"/>
      <c r="AR25" s="1452" t="str">
        <f t="shared" si="5"/>
        <v/>
      </c>
      <c r="AS25" s="1452"/>
      <c r="AT25" s="1452"/>
      <c r="AU25" s="1452"/>
      <c r="AV25" s="1457"/>
      <c r="AW25" s="1454"/>
      <c r="AX25" s="1455"/>
      <c r="AY25" s="1455"/>
      <c r="AZ25" s="1455"/>
      <c r="BA25" s="1456"/>
      <c r="BB25" s="1451" t="str">
        <f t="shared" si="4"/>
        <v/>
      </c>
      <c r="BC25" s="1452"/>
      <c r="BD25" s="1452"/>
      <c r="BE25" s="1452"/>
      <c r="BF25" s="1452"/>
      <c r="BG25" s="1452"/>
      <c r="BH25" s="1453"/>
    </row>
    <row r="26" spans="1:60" ht="21" customHeight="1">
      <c r="A26">
        <v>6.0000000000000005E-2</v>
      </c>
      <c r="B26">
        <v>0.22000000000000006</v>
      </c>
      <c r="C26">
        <v>0.38000000000000017</v>
      </c>
      <c r="D26">
        <v>0.54000000000000026</v>
      </c>
      <c r="E26">
        <v>0.7000000000000004</v>
      </c>
      <c r="F26" t="str">
        <f t="shared" si="0"/>
        <v/>
      </c>
      <c r="G26" t="str">
        <f t="shared" si="1"/>
        <v/>
      </c>
      <c r="H26" t="str">
        <f t="shared" si="2"/>
        <v/>
      </c>
      <c r="I26" t="str">
        <f t="shared" si="3"/>
        <v/>
      </c>
      <c r="J26" s="1439"/>
      <c r="K26" s="1440"/>
      <c r="L26" s="1429"/>
      <c r="M26" s="1422"/>
      <c r="N26" s="1423"/>
      <c r="O26" s="1423"/>
      <c r="P26" s="1423"/>
      <c r="Q26" s="1424"/>
      <c r="R26" s="1432" t="s">
        <v>2646</v>
      </c>
      <c r="S26" s="1433"/>
      <c r="T26" s="1433"/>
      <c r="U26" s="1433"/>
      <c r="V26" s="1433"/>
      <c r="W26" s="1433"/>
      <c r="X26" s="1433"/>
      <c r="Y26" s="1433"/>
      <c r="Z26" s="1433"/>
      <c r="AA26" s="1433"/>
      <c r="AB26" s="1433"/>
      <c r="AC26" s="1434"/>
      <c r="AD26" s="1348" t="s">
        <v>2643</v>
      </c>
      <c r="AE26" s="1349"/>
      <c r="AF26" s="1349"/>
      <c r="AG26" s="1350"/>
      <c r="AH26" s="1405"/>
      <c r="AI26" s="1406"/>
      <c r="AJ26" s="1406"/>
      <c r="AK26" s="1406"/>
      <c r="AL26" s="1406"/>
      <c r="AM26" s="1407"/>
      <c r="AN26" s="1361">
        <v>0.03</v>
      </c>
      <c r="AO26" s="1362"/>
      <c r="AP26" s="1408"/>
      <c r="AQ26" s="1409"/>
      <c r="AR26" s="1452" t="str">
        <f t="shared" si="5"/>
        <v/>
      </c>
      <c r="AS26" s="1452"/>
      <c r="AT26" s="1452"/>
      <c r="AU26" s="1452"/>
      <c r="AV26" s="1457"/>
      <c r="AW26" s="1454"/>
      <c r="AX26" s="1455"/>
      <c r="AY26" s="1455"/>
      <c r="AZ26" s="1455"/>
      <c r="BA26" s="1456"/>
      <c r="BB26" s="1451" t="str">
        <f t="shared" si="4"/>
        <v/>
      </c>
      <c r="BC26" s="1452"/>
      <c r="BD26" s="1452"/>
      <c r="BE26" s="1452"/>
      <c r="BF26" s="1452"/>
      <c r="BG26" s="1452"/>
      <c r="BH26" s="1453"/>
    </row>
    <row r="27" spans="1:60" ht="21" customHeight="1">
      <c r="A27">
        <v>7.0000000000000007E-2</v>
      </c>
      <c r="B27">
        <v>0.23000000000000007</v>
      </c>
      <c r="C27">
        <v>0.39000000000000018</v>
      </c>
      <c r="D27">
        <v>0.55000000000000027</v>
      </c>
      <c r="E27">
        <v>0.71000000000000041</v>
      </c>
      <c r="F27" t="str">
        <f t="shared" si="0"/>
        <v/>
      </c>
      <c r="G27" t="str">
        <f t="shared" si="1"/>
        <v/>
      </c>
      <c r="H27" t="str">
        <f t="shared" si="2"/>
        <v/>
      </c>
      <c r="I27" t="str">
        <f t="shared" si="3"/>
        <v/>
      </c>
      <c r="J27" s="1441"/>
      <c r="K27" s="1442"/>
      <c r="L27" s="1429"/>
      <c r="M27" s="1425"/>
      <c r="N27" s="1426"/>
      <c r="O27" s="1426"/>
      <c r="P27" s="1426"/>
      <c r="Q27" s="1427"/>
      <c r="R27" s="1399" t="s">
        <v>2647</v>
      </c>
      <c r="S27" s="1400"/>
      <c r="T27" s="1400"/>
      <c r="U27" s="1400"/>
      <c r="V27" s="1400"/>
      <c r="W27" s="1400"/>
      <c r="X27" s="1400"/>
      <c r="Y27" s="1400"/>
      <c r="Z27" s="1400"/>
      <c r="AA27" s="1400"/>
      <c r="AB27" s="1400"/>
      <c r="AC27" s="1401"/>
      <c r="AD27" s="1402" t="s">
        <v>2648</v>
      </c>
      <c r="AE27" s="1403"/>
      <c r="AF27" s="1403"/>
      <c r="AG27" s="1404"/>
      <c r="AH27" s="1376"/>
      <c r="AI27" s="1377"/>
      <c r="AJ27" s="1377"/>
      <c r="AK27" s="1377"/>
      <c r="AL27" s="1377"/>
      <c r="AM27" s="1378"/>
      <c r="AN27" s="1481">
        <v>1E-3</v>
      </c>
      <c r="AO27" s="1482"/>
      <c r="AP27" s="1379"/>
      <c r="AQ27" s="1380"/>
      <c r="AR27" s="1366" t="str">
        <f t="shared" si="5"/>
        <v/>
      </c>
      <c r="AS27" s="1366"/>
      <c r="AT27" s="1366"/>
      <c r="AU27" s="1366"/>
      <c r="AV27" s="1381"/>
      <c r="AW27" s="1382"/>
      <c r="AX27" s="1383"/>
      <c r="AY27" s="1383"/>
      <c r="AZ27" s="1383"/>
      <c r="BA27" s="1384"/>
      <c r="BB27" s="1366" t="str">
        <f t="shared" si="4"/>
        <v/>
      </c>
      <c r="BC27" s="1366"/>
      <c r="BD27" s="1366"/>
      <c r="BE27" s="1366"/>
      <c r="BF27" s="1366"/>
      <c r="BG27" s="1366"/>
      <c r="BH27" s="1367"/>
    </row>
    <row r="28" spans="1:60" ht="21" customHeight="1">
      <c r="A28">
        <v>0.08</v>
      </c>
      <c r="B28">
        <v>0.24000000000000007</v>
      </c>
      <c r="C28">
        <v>0.40000000000000019</v>
      </c>
      <c r="D28">
        <v>0.56000000000000028</v>
      </c>
      <c r="E28">
        <v>0.72000000000000042</v>
      </c>
      <c r="F28" t="str">
        <f t="shared" si="0"/>
        <v/>
      </c>
      <c r="G28" t="str">
        <f t="shared" si="1"/>
        <v/>
      </c>
      <c r="H28" t="str">
        <f t="shared" si="2"/>
        <v/>
      </c>
      <c r="I28" t="str">
        <f t="shared" si="3"/>
        <v/>
      </c>
      <c r="J28" s="1437" t="s">
        <v>2101</v>
      </c>
      <c r="K28" s="1438"/>
      <c r="L28" s="1429"/>
      <c r="M28" s="1422" t="s">
        <v>2649</v>
      </c>
      <c r="N28" s="1423"/>
      <c r="O28" s="1423"/>
      <c r="P28" s="1423"/>
      <c r="Q28" s="1424"/>
      <c r="R28" s="1431" t="s">
        <v>2650</v>
      </c>
      <c r="S28" s="1417"/>
      <c r="T28" s="1417"/>
      <c r="U28" s="1417"/>
      <c r="V28" s="1417"/>
      <c r="W28" s="1417"/>
      <c r="X28" s="1417"/>
      <c r="Y28" s="1417"/>
      <c r="Z28" s="1417"/>
      <c r="AA28" s="1417"/>
      <c r="AB28" s="1417"/>
      <c r="AC28" s="1418"/>
      <c r="AD28" s="1387" t="s">
        <v>2651</v>
      </c>
      <c r="AE28" s="1388"/>
      <c r="AF28" s="1388"/>
      <c r="AG28" s="1389"/>
      <c r="AH28" s="1351"/>
      <c r="AI28" s="1352"/>
      <c r="AJ28" s="1352"/>
      <c r="AK28" s="1352"/>
      <c r="AL28" s="1352"/>
      <c r="AM28" s="1353"/>
      <c r="AN28" s="1359">
        <v>2</v>
      </c>
      <c r="AO28" s="1360"/>
      <c r="AP28" s="1357"/>
      <c r="AQ28" s="1358"/>
      <c r="AR28" s="1385" t="str">
        <f t="shared" si="5"/>
        <v/>
      </c>
      <c r="AS28" s="1385"/>
      <c r="AT28" s="1385"/>
      <c r="AU28" s="1385"/>
      <c r="AV28" s="1386"/>
      <c r="AW28" s="1373"/>
      <c r="AX28" s="1374"/>
      <c r="AY28" s="1374"/>
      <c r="AZ28" s="1374"/>
      <c r="BA28" s="1375"/>
      <c r="BB28" s="1390" t="str">
        <f t="shared" si="4"/>
        <v/>
      </c>
      <c r="BC28" s="1385"/>
      <c r="BD28" s="1385"/>
      <c r="BE28" s="1385"/>
      <c r="BF28" s="1385"/>
      <c r="BG28" s="1385"/>
      <c r="BH28" s="1391"/>
    </row>
    <row r="29" spans="1:60" ht="21" customHeight="1">
      <c r="A29">
        <v>0.09</v>
      </c>
      <c r="B29">
        <v>0.25000000000000006</v>
      </c>
      <c r="C29">
        <v>0.4100000000000002</v>
      </c>
      <c r="D29">
        <v>0.57000000000000028</v>
      </c>
      <c r="E29">
        <v>0.73000000000000043</v>
      </c>
      <c r="F29" t="str">
        <f t="shared" si="0"/>
        <v/>
      </c>
      <c r="G29" t="str">
        <f t="shared" si="1"/>
        <v/>
      </c>
      <c r="H29" t="str">
        <f t="shared" si="2"/>
        <v/>
      </c>
      <c r="I29" t="str">
        <f t="shared" si="3"/>
        <v/>
      </c>
      <c r="J29" s="1439"/>
      <c r="K29" s="1440"/>
      <c r="L29" s="1429"/>
      <c r="M29" s="1422"/>
      <c r="N29" s="1423"/>
      <c r="O29" s="1423"/>
      <c r="P29" s="1423"/>
      <c r="Q29" s="1424"/>
      <c r="R29" s="1432" t="s">
        <v>2652</v>
      </c>
      <c r="S29" s="1433"/>
      <c r="T29" s="1433"/>
      <c r="U29" s="1433"/>
      <c r="V29" s="1433"/>
      <c r="W29" s="1433"/>
      <c r="X29" s="1433"/>
      <c r="Y29" s="1433"/>
      <c r="Z29" s="1433"/>
      <c r="AA29" s="1433"/>
      <c r="AB29" s="1433"/>
      <c r="AC29" s="1434"/>
      <c r="AD29" s="1348" t="s">
        <v>2651</v>
      </c>
      <c r="AE29" s="1349"/>
      <c r="AF29" s="1349"/>
      <c r="AG29" s="1350"/>
      <c r="AH29" s="1405"/>
      <c r="AI29" s="1406"/>
      <c r="AJ29" s="1406"/>
      <c r="AK29" s="1406"/>
      <c r="AL29" s="1406"/>
      <c r="AM29" s="1407"/>
      <c r="AN29" s="1361">
        <v>2</v>
      </c>
      <c r="AO29" s="1362"/>
      <c r="AP29" s="1408"/>
      <c r="AQ29" s="1409"/>
      <c r="AR29" s="1452" t="str">
        <f t="shared" si="5"/>
        <v/>
      </c>
      <c r="AS29" s="1452"/>
      <c r="AT29" s="1452"/>
      <c r="AU29" s="1452"/>
      <c r="AV29" s="1457"/>
      <c r="AW29" s="1454"/>
      <c r="AX29" s="1455"/>
      <c r="AY29" s="1455"/>
      <c r="AZ29" s="1455"/>
      <c r="BA29" s="1456"/>
      <c r="BB29" s="1451" t="str">
        <f t="shared" si="4"/>
        <v/>
      </c>
      <c r="BC29" s="1452"/>
      <c r="BD29" s="1452"/>
      <c r="BE29" s="1452"/>
      <c r="BF29" s="1452"/>
      <c r="BG29" s="1452"/>
      <c r="BH29" s="1453"/>
    </row>
    <row r="30" spans="1:60" ht="21" customHeight="1">
      <c r="A30">
        <v>9.9999999999999992E-2</v>
      </c>
      <c r="B30">
        <v>0.26000000000000006</v>
      </c>
      <c r="C30">
        <v>0.42000000000000021</v>
      </c>
      <c r="D30">
        <v>0.58000000000000029</v>
      </c>
      <c r="E30">
        <v>0.74000000000000044</v>
      </c>
      <c r="F30" t="str">
        <f t="shared" si="0"/>
        <v/>
      </c>
      <c r="G30" t="str">
        <f t="shared" si="1"/>
        <v/>
      </c>
      <c r="H30" t="str">
        <f t="shared" si="2"/>
        <v/>
      </c>
      <c r="I30" t="str">
        <f t="shared" si="3"/>
        <v/>
      </c>
      <c r="J30" s="1439"/>
      <c r="K30" s="1440"/>
      <c r="L30" s="1429"/>
      <c r="M30" s="1422"/>
      <c r="N30" s="1423"/>
      <c r="O30" s="1423"/>
      <c r="P30" s="1423"/>
      <c r="Q30" s="1424"/>
      <c r="R30" s="1432" t="s">
        <v>2653</v>
      </c>
      <c r="S30" s="1433"/>
      <c r="T30" s="1433"/>
      <c r="U30" s="1433"/>
      <c r="V30" s="1433"/>
      <c r="W30" s="1433"/>
      <c r="X30" s="1433"/>
      <c r="Y30" s="1433"/>
      <c r="Z30" s="1433"/>
      <c r="AA30" s="1433"/>
      <c r="AB30" s="1433"/>
      <c r="AC30" s="1434"/>
      <c r="AD30" s="1348" t="s">
        <v>2654</v>
      </c>
      <c r="AE30" s="1349"/>
      <c r="AF30" s="1349"/>
      <c r="AG30" s="1350"/>
      <c r="AH30" s="1405"/>
      <c r="AI30" s="1406"/>
      <c r="AJ30" s="1406"/>
      <c r="AK30" s="1406"/>
      <c r="AL30" s="1406"/>
      <c r="AM30" s="1407"/>
      <c r="AN30" s="1361">
        <v>0.04</v>
      </c>
      <c r="AO30" s="1362"/>
      <c r="AP30" s="1408"/>
      <c r="AQ30" s="1409"/>
      <c r="AR30" s="1452" t="str">
        <f t="shared" si="5"/>
        <v/>
      </c>
      <c r="AS30" s="1452"/>
      <c r="AT30" s="1452"/>
      <c r="AU30" s="1452"/>
      <c r="AV30" s="1457"/>
      <c r="AW30" s="1454"/>
      <c r="AX30" s="1455"/>
      <c r="AY30" s="1455"/>
      <c r="AZ30" s="1455"/>
      <c r="BA30" s="1456"/>
      <c r="BB30" s="1451" t="str">
        <f t="shared" si="4"/>
        <v/>
      </c>
      <c r="BC30" s="1452"/>
      <c r="BD30" s="1452"/>
      <c r="BE30" s="1452"/>
      <c r="BF30" s="1452"/>
      <c r="BG30" s="1452"/>
      <c r="BH30" s="1453"/>
    </row>
    <row r="31" spans="1:60" ht="21" customHeight="1">
      <c r="A31">
        <v>0.10999999999999999</v>
      </c>
      <c r="B31">
        <v>0.27000000000000007</v>
      </c>
      <c r="C31">
        <v>0.43000000000000022</v>
      </c>
      <c r="D31">
        <v>0.5900000000000003</v>
      </c>
      <c r="E31">
        <v>0.75000000000000044</v>
      </c>
      <c r="F31" t="str">
        <f t="shared" si="0"/>
        <v/>
      </c>
      <c r="G31" t="str">
        <f t="shared" si="1"/>
        <v/>
      </c>
      <c r="H31" t="str">
        <f t="shared" si="2"/>
        <v/>
      </c>
      <c r="I31" t="str">
        <f t="shared" si="3"/>
        <v/>
      </c>
      <c r="J31" s="1439"/>
      <c r="K31" s="1440"/>
      <c r="L31" s="1429"/>
      <c r="M31" s="1422"/>
      <c r="N31" s="1423"/>
      <c r="O31" s="1423"/>
      <c r="P31" s="1423"/>
      <c r="Q31" s="1424"/>
      <c r="R31" s="1432" t="s">
        <v>2655</v>
      </c>
      <c r="S31" s="1433"/>
      <c r="T31" s="1433"/>
      <c r="U31" s="1433"/>
      <c r="V31" s="1433"/>
      <c r="W31" s="1433"/>
      <c r="X31" s="1433"/>
      <c r="Y31" s="1433"/>
      <c r="Z31" s="1433"/>
      <c r="AA31" s="1433"/>
      <c r="AB31" s="1433"/>
      <c r="AC31" s="1434"/>
      <c r="AD31" s="1348" t="s">
        <v>2654</v>
      </c>
      <c r="AE31" s="1349"/>
      <c r="AF31" s="1349"/>
      <c r="AG31" s="1350"/>
      <c r="AH31" s="1405"/>
      <c r="AI31" s="1406"/>
      <c r="AJ31" s="1406"/>
      <c r="AK31" s="1406"/>
      <c r="AL31" s="1406"/>
      <c r="AM31" s="1407"/>
      <c r="AN31" s="1479">
        <v>5.0000000000000001E-3</v>
      </c>
      <c r="AO31" s="1480"/>
      <c r="AP31" s="1408"/>
      <c r="AQ31" s="1409"/>
      <c r="AR31" s="1452" t="str">
        <f t="shared" si="5"/>
        <v/>
      </c>
      <c r="AS31" s="1452"/>
      <c r="AT31" s="1452"/>
      <c r="AU31" s="1452"/>
      <c r="AV31" s="1457"/>
      <c r="AW31" s="1454"/>
      <c r="AX31" s="1455"/>
      <c r="AY31" s="1455"/>
      <c r="AZ31" s="1455"/>
      <c r="BA31" s="1456"/>
      <c r="BB31" s="1451" t="str">
        <f t="shared" si="4"/>
        <v/>
      </c>
      <c r="BC31" s="1452"/>
      <c r="BD31" s="1452"/>
      <c r="BE31" s="1452"/>
      <c r="BF31" s="1452"/>
      <c r="BG31" s="1452"/>
      <c r="BH31" s="1453"/>
    </row>
    <row r="32" spans="1:60" ht="21" customHeight="1">
      <c r="A32">
        <v>0.11999999999999998</v>
      </c>
      <c r="B32">
        <v>0.28000000000000008</v>
      </c>
      <c r="C32">
        <v>0.44000000000000022</v>
      </c>
      <c r="D32">
        <v>0.60000000000000031</v>
      </c>
      <c r="E32">
        <v>0.76000000000000045</v>
      </c>
      <c r="F32" t="str">
        <f t="shared" si="0"/>
        <v/>
      </c>
      <c r="G32" t="str">
        <f t="shared" si="1"/>
        <v/>
      </c>
      <c r="H32" t="str">
        <f t="shared" si="2"/>
        <v/>
      </c>
      <c r="I32" t="str">
        <f t="shared" si="3"/>
        <v/>
      </c>
      <c r="J32" s="1441"/>
      <c r="K32" s="1442"/>
      <c r="L32" s="1429"/>
      <c r="M32" s="1425"/>
      <c r="N32" s="1426"/>
      <c r="O32" s="1426"/>
      <c r="P32" s="1426"/>
      <c r="Q32" s="1427"/>
      <c r="R32" s="1399" t="s">
        <v>2656</v>
      </c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1"/>
      <c r="AD32" s="1402" t="s">
        <v>2654</v>
      </c>
      <c r="AE32" s="1403"/>
      <c r="AF32" s="1403"/>
      <c r="AG32" s="1404"/>
      <c r="AH32" s="1376"/>
      <c r="AI32" s="1377"/>
      <c r="AJ32" s="1377"/>
      <c r="AK32" s="1377"/>
      <c r="AL32" s="1377"/>
      <c r="AM32" s="1378"/>
      <c r="AN32" s="1481">
        <v>7.4999999999999997E-2</v>
      </c>
      <c r="AO32" s="1482"/>
      <c r="AP32" s="1379"/>
      <c r="AQ32" s="1380"/>
      <c r="AR32" s="1366" t="str">
        <f t="shared" si="5"/>
        <v/>
      </c>
      <c r="AS32" s="1366"/>
      <c r="AT32" s="1366"/>
      <c r="AU32" s="1366"/>
      <c r="AV32" s="1381"/>
      <c r="AW32" s="1382"/>
      <c r="AX32" s="1383"/>
      <c r="AY32" s="1383"/>
      <c r="AZ32" s="1383"/>
      <c r="BA32" s="1384"/>
      <c r="BB32" s="1366" t="str">
        <f t="shared" si="4"/>
        <v/>
      </c>
      <c r="BC32" s="1366"/>
      <c r="BD32" s="1366"/>
      <c r="BE32" s="1366"/>
      <c r="BF32" s="1366"/>
      <c r="BG32" s="1366"/>
      <c r="BH32" s="1367"/>
    </row>
    <row r="33" spans="1:60" ht="21" customHeight="1">
      <c r="A33">
        <v>0.12999999999999998</v>
      </c>
      <c r="B33">
        <v>0.29000000000000009</v>
      </c>
      <c r="C33">
        <v>0.45000000000000023</v>
      </c>
      <c r="D33">
        <v>0.61000000000000032</v>
      </c>
      <c r="E33">
        <v>0.77000000000000046</v>
      </c>
      <c r="F33" t="str">
        <f t="shared" si="0"/>
        <v/>
      </c>
      <c r="G33" t="str">
        <f t="shared" si="1"/>
        <v/>
      </c>
      <c r="H33" t="str">
        <f t="shared" si="2"/>
        <v/>
      </c>
      <c r="I33" t="str">
        <f t="shared" si="3"/>
        <v/>
      </c>
      <c r="J33" s="1443" t="s">
        <v>2108</v>
      </c>
      <c r="K33" s="1389"/>
      <c r="L33" s="1429"/>
      <c r="M33" s="1431" t="s">
        <v>2657</v>
      </c>
      <c r="N33" s="1416"/>
      <c r="O33" s="1416"/>
      <c r="P33" s="1417"/>
      <c r="Q33" s="1417"/>
      <c r="R33" s="1417"/>
      <c r="S33" s="1417"/>
      <c r="T33" s="1417"/>
      <c r="U33" s="1417"/>
      <c r="V33" s="1417"/>
      <c r="W33" s="1417"/>
      <c r="X33" s="1417"/>
      <c r="Y33" s="1417"/>
      <c r="Z33" s="1417"/>
      <c r="AA33" s="1417"/>
      <c r="AB33" s="1417"/>
      <c r="AC33" s="1418"/>
      <c r="AD33" s="1387" t="s">
        <v>2643</v>
      </c>
      <c r="AE33" s="1388"/>
      <c r="AF33" s="1388"/>
      <c r="AG33" s="1389"/>
      <c r="AH33" s="1351"/>
      <c r="AI33" s="1352"/>
      <c r="AJ33" s="1352"/>
      <c r="AK33" s="1352"/>
      <c r="AL33" s="1352"/>
      <c r="AM33" s="1353"/>
      <c r="AN33" s="1359">
        <v>1.5</v>
      </c>
      <c r="AO33" s="1360"/>
      <c r="AP33" s="1357"/>
      <c r="AQ33" s="1358"/>
      <c r="AR33" s="1385" t="str">
        <f t="shared" si="5"/>
        <v/>
      </c>
      <c r="AS33" s="1385"/>
      <c r="AT33" s="1385"/>
      <c r="AU33" s="1385"/>
      <c r="AV33" s="1386"/>
      <c r="AW33" s="1373"/>
      <c r="AX33" s="1374"/>
      <c r="AY33" s="1374"/>
      <c r="AZ33" s="1374"/>
      <c r="BA33" s="1375"/>
      <c r="BB33" s="1390" t="str">
        <f t="shared" si="4"/>
        <v/>
      </c>
      <c r="BC33" s="1385"/>
      <c r="BD33" s="1385"/>
      <c r="BE33" s="1385"/>
      <c r="BF33" s="1385"/>
      <c r="BG33" s="1385"/>
      <c r="BH33" s="1391"/>
    </row>
    <row r="34" spans="1:60" ht="21" customHeight="1">
      <c r="A34">
        <v>0.13999999999999999</v>
      </c>
      <c r="B34">
        <v>0.3000000000000001</v>
      </c>
      <c r="C34">
        <v>0.46000000000000024</v>
      </c>
      <c r="D34">
        <v>0.62000000000000033</v>
      </c>
      <c r="E34">
        <v>0.78000000000000047</v>
      </c>
      <c r="F34" t="str">
        <f t="shared" si="0"/>
        <v/>
      </c>
      <c r="G34" t="str">
        <f t="shared" si="1"/>
        <v/>
      </c>
      <c r="H34" t="str">
        <f t="shared" si="2"/>
        <v/>
      </c>
      <c r="I34" t="str">
        <f t="shared" si="3"/>
        <v/>
      </c>
      <c r="J34" s="1472" t="s">
        <v>2122</v>
      </c>
      <c r="K34" s="1473"/>
      <c r="L34" s="1429"/>
      <c r="M34" s="1458" t="s">
        <v>2658</v>
      </c>
      <c r="N34" s="1459"/>
      <c r="O34" s="1459"/>
      <c r="P34" s="1459"/>
      <c r="Q34" s="1460"/>
      <c r="R34" s="1461" t="s">
        <v>2659</v>
      </c>
      <c r="S34" s="1462"/>
      <c r="T34" s="1462"/>
      <c r="U34" s="1462"/>
      <c r="V34" s="1462"/>
      <c r="W34" s="1462"/>
      <c r="X34" s="1462"/>
      <c r="Y34" s="1462"/>
      <c r="Z34" s="1462"/>
      <c r="AA34" s="1462"/>
      <c r="AB34" s="1462"/>
      <c r="AC34" s="1463"/>
      <c r="AD34" s="1348" t="s">
        <v>2660</v>
      </c>
      <c r="AE34" s="1349"/>
      <c r="AF34" s="1349"/>
      <c r="AG34" s="1350"/>
      <c r="AH34" s="1405"/>
      <c r="AI34" s="1406"/>
      <c r="AJ34" s="1406"/>
      <c r="AK34" s="1406"/>
      <c r="AL34" s="1406"/>
      <c r="AM34" s="1407"/>
      <c r="AN34" s="1361">
        <v>5</v>
      </c>
      <c r="AO34" s="1362"/>
      <c r="AP34" s="1408"/>
      <c r="AQ34" s="1409"/>
      <c r="AR34" s="1452" t="str">
        <f t="shared" si="5"/>
        <v/>
      </c>
      <c r="AS34" s="1452"/>
      <c r="AT34" s="1452"/>
      <c r="AU34" s="1452"/>
      <c r="AV34" s="1457"/>
      <c r="AW34" s="1454"/>
      <c r="AX34" s="1455"/>
      <c r="AY34" s="1455"/>
      <c r="AZ34" s="1455"/>
      <c r="BA34" s="1456"/>
      <c r="BB34" s="1452" t="str">
        <f t="shared" si="4"/>
        <v/>
      </c>
      <c r="BC34" s="1452"/>
      <c r="BD34" s="1452"/>
      <c r="BE34" s="1452"/>
      <c r="BF34" s="1452"/>
      <c r="BG34" s="1452"/>
      <c r="BH34" s="1453"/>
    </row>
    <row r="35" spans="1:60" ht="21" customHeight="1">
      <c r="A35">
        <v>0.15</v>
      </c>
      <c r="B35">
        <v>0.31000000000000011</v>
      </c>
      <c r="C35">
        <v>0.47000000000000025</v>
      </c>
      <c r="D35">
        <v>0.63000000000000034</v>
      </c>
      <c r="E35">
        <v>0.79000000000000048</v>
      </c>
      <c r="F35" t="str">
        <f t="shared" si="0"/>
        <v/>
      </c>
      <c r="G35" t="str">
        <f t="shared" si="1"/>
        <v/>
      </c>
      <c r="H35" t="str">
        <f t="shared" si="2"/>
        <v/>
      </c>
      <c r="I35" t="str">
        <f t="shared" si="3"/>
        <v/>
      </c>
      <c r="J35" s="1472"/>
      <c r="K35" s="1473"/>
      <c r="L35" s="1430"/>
      <c r="M35" s="1425"/>
      <c r="N35" s="1426"/>
      <c r="O35" s="1426"/>
      <c r="P35" s="1426"/>
      <c r="Q35" s="1427"/>
      <c r="R35" s="1399" t="s">
        <v>2661</v>
      </c>
      <c r="S35" s="1400"/>
      <c r="T35" s="1400"/>
      <c r="U35" s="1400"/>
      <c r="V35" s="1400"/>
      <c r="W35" s="1400"/>
      <c r="X35" s="1400"/>
      <c r="Y35" s="1400"/>
      <c r="Z35" s="1400"/>
      <c r="AA35" s="1400"/>
      <c r="AB35" s="1400"/>
      <c r="AC35" s="1401"/>
      <c r="AD35" s="1402" t="s">
        <v>2662</v>
      </c>
      <c r="AE35" s="1403"/>
      <c r="AF35" s="1403"/>
      <c r="AG35" s="1404"/>
      <c r="AH35" s="1376"/>
      <c r="AI35" s="1377"/>
      <c r="AJ35" s="1377"/>
      <c r="AK35" s="1377"/>
      <c r="AL35" s="1377"/>
      <c r="AM35" s="1378"/>
      <c r="AN35" s="1474">
        <v>0.1</v>
      </c>
      <c r="AO35" s="1475"/>
      <c r="AP35" s="1444"/>
      <c r="AQ35" s="1445"/>
      <c r="AR35" s="1476" t="str">
        <f t="shared" si="5"/>
        <v/>
      </c>
      <c r="AS35" s="1476"/>
      <c r="AT35" s="1476"/>
      <c r="AU35" s="1476"/>
      <c r="AV35" s="1478"/>
      <c r="AW35" s="1469"/>
      <c r="AX35" s="1470"/>
      <c r="AY35" s="1470"/>
      <c r="AZ35" s="1470"/>
      <c r="BA35" s="1471"/>
      <c r="BB35" s="1476" t="str">
        <f t="shared" si="4"/>
        <v/>
      </c>
      <c r="BC35" s="1476"/>
      <c r="BD35" s="1476"/>
      <c r="BE35" s="1476"/>
      <c r="BF35" s="1476"/>
      <c r="BG35" s="1476"/>
      <c r="BH35" s="1477"/>
    </row>
    <row r="36" spans="1:60" ht="21" customHeight="1">
      <c r="A36">
        <v>0.16</v>
      </c>
      <c r="B36">
        <v>0.32000000000000012</v>
      </c>
      <c r="C36">
        <v>0.48000000000000026</v>
      </c>
      <c r="D36">
        <v>0.64000000000000035</v>
      </c>
      <c r="E36">
        <v>0.80000000000000049</v>
      </c>
      <c r="G36">
        <f t="shared" si="1"/>
        <v>16.700266666666671</v>
      </c>
      <c r="H36">
        <f t="shared" si="2"/>
        <v>24.55040000000001</v>
      </c>
      <c r="I36">
        <f t="shared" si="3"/>
        <v>1.6400000000000003</v>
      </c>
      <c r="J36" s="1446" t="s">
        <v>2125</v>
      </c>
      <c r="K36" s="1447"/>
      <c r="L36" s="1448" t="s">
        <v>2663</v>
      </c>
      <c r="M36" s="1449"/>
      <c r="N36" s="1449"/>
      <c r="O36" s="1449"/>
      <c r="P36" s="1449"/>
      <c r="Q36" s="1449"/>
      <c r="R36" s="1449"/>
      <c r="S36" s="1449"/>
      <c r="T36" s="1449"/>
      <c r="U36" s="1449"/>
      <c r="V36" s="1449"/>
      <c r="W36" s="1449"/>
      <c r="X36" s="1449"/>
      <c r="Y36" s="1449"/>
      <c r="Z36" s="1449"/>
      <c r="AA36" s="1449"/>
      <c r="AB36" s="1449"/>
      <c r="AC36" s="1449"/>
      <c r="AD36" s="1449"/>
      <c r="AE36" s="1449"/>
      <c r="AF36" s="1449"/>
      <c r="AG36" s="1449"/>
      <c r="AH36" s="1449"/>
      <c r="AI36" s="1449"/>
      <c r="AJ36" s="1449"/>
      <c r="AK36" s="1449"/>
      <c r="AL36" s="1449"/>
      <c r="AM36" s="1449"/>
      <c r="AN36" s="1449"/>
      <c r="AO36" s="1449"/>
      <c r="AP36" s="1449"/>
      <c r="AQ36" s="1450"/>
      <c r="AR36" s="1464">
        <f>IF(COUNT(AR21:AV35)&lt;&gt;0,ROUND(SUM(AR21:AV35),2),"")</f>
        <v>288.38</v>
      </c>
      <c r="AS36" s="1465"/>
      <c r="AT36" s="1465"/>
      <c r="AU36" s="1465"/>
      <c r="AV36" s="1466"/>
      <c r="AW36" s="1464">
        <f>IF(COUNT(AW21:BA35)&lt;&gt;0,ROUND(SUM(AW21:BA35),2),"")</f>
        <v>288.38</v>
      </c>
      <c r="AX36" s="1465"/>
      <c r="AY36" s="1465"/>
      <c r="AZ36" s="1465"/>
      <c r="BA36" s="1466"/>
      <c r="BB36" s="1467">
        <f>IF(ISERROR(AR36-AW36),"",AR36-AW36)</f>
        <v>0</v>
      </c>
      <c r="BC36" s="1467"/>
      <c r="BD36" s="1467"/>
      <c r="BE36" s="1467"/>
      <c r="BF36" s="1467"/>
      <c r="BG36" s="1467"/>
      <c r="BH36" s="1468"/>
    </row>
    <row r="37" spans="1:60" ht="18" customHeight="1">
      <c r="F37">
        <f>IF(ISERROR(ABS(LOG(ABS(SUM(F21:F36)),EXP(3)))),"",ABS(LOG(ABS(SUM(F21:F36)),EXP(3))))</f>
        <v>1.5730535314241436</v>
      </c>
      <c r="G37">
        <f>IF(ISERROR(ABS(LOG(ABS(SUM(G21:G36)),EXP(3)))),"",ABS(LOG(ABS(SUM(G21:G36)),EXP(3))))</f>
        <v>1.1497421365600327</v>
      </c>
      <c r="H37">
        <f>IF(ISERROR(ABS(LOG(ABS(SUM(H21:H36)),EXP(3)))),"",ABS(LOG(ABS(SUM(H21:H36)),EXP(3))))</f>
        <v>1.3107150631679187</v>
      </c>
      <c r="I37">
        <f>IF(ISERROR(ABS(LOG(ABS(SUM(I21:I36)),EXP(3)))),"",ABS(LOG(ABS(SUM(I21:I36)),EXP(3))))</f>
        <v>0.51085228936604765</v>
      </c>
      <c r="J37" s="300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</row>
    <row r="38" spans="1:60" ht="22.5" customHeight="1">
      <c r="F38" t="str">
        <f>IF(ISERROR(IF(ISERROR(MID(F37,FIND(".",F37,1)+12,13)),MID(F37,FIND(",",F37,1)+12,13),MID(F37,FIND(".",F37,1)+12,13))),"",IF(ISERROR(MID(F37,FIND(".",F37,1)+12,13)),MID(F37,FIND(",",F37,1)+12,13),MID(F37,FIND(".",F37,1)+12,13)))</f>
        <v>414</v>
      </c>
      <c r="G38" t="str">
        <f>IF(ISERROR(IF(ISERROR(MID(G37,FIND(".",G37,1)+12,13)),MID(G37,FIND(",",G37,1)+12,13),MID(G37,FIND(".",G37,1)+12,13))),"",IF(ISERROR(MID(G37,FIND(".",G37,1)+12,13)),MID(G37,FIND(",",G37,1)+12,13),MID(G37,FIND(".",G37,1)+12,13)))</f>
        <v>003</v>
      </c>
      <c r="H38" t="str">
        <f>IF(ISERROR(IF(ISERROR(MID(H37,FIND(".",H37,1)+12,13)),MID(H37,FIND(",",H37,1)+12,13),MID(H37,FIND(".",H37,1)+12,13))),"",IF(ISERROR(MID(H37,FIND(".",H37,1)+12,13)),MID(H37,FIND(",",H37,1)+12,13),MID(H37,FIND(".",H37,1)+12,13)))</f>
        <v>792</v>
      </c>
      <c r="I38" t="str">
        <f>IF(ISERROR(IF(ISERROR(MID(I37,FIND(".",I37,1)+12,13)),MID(I37,FIND(",",I37,1)+12,13),MID(I37,FIND(".",I37,1)+12,13))),"",IF(ISERROR(MID(I37,FIND(".",I37,1)+12,13)),MID(I37,FIND(",",I37,1)+12,13),MID(I37,FIND(".",I37,1)+12,13)))</f>
        <v>6048</v>
      </c>
      <c r="J38" s="1435" t="str">
        <f>IF(OsnPodaci!D58="","",TEXT(OsnPodaci!D58,"dd.mm.yyyy."))</f>
        <v>28.02.2023.</v>
      </c>
      <c r="K38" s="1435"/>
      <c r="L38" s="1435"/>
      <c r="M38" s="1435"/>
      <c r="N38" s="1435"/>
      <c r="O38" s="1436"/>
      <c r="P38" s="1436"/>
      <c r="Q38" s="294"/>
      <c r="R38" s="294"/>
      <c r="S38" s="301"/>
      <c r="T38" s="301"/>
      <c r="U38" s="301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30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1"/>
      <c r="BA38" s="291"/>
      <c r="BB38" s="291"/>
      <c r="BC38" s="291"/>
      <c r="BD38" s="291"/>
      <c r="BE38" s="291"/>
      <c r="BF38" s="291"/>
      <c r="BG38" s="291"/>
      <c r="BH38" s="303" t="str">
        <f>CONCATENATE(OsnPodaci!$A$31," ",OsnPodaci!$B$31,", ",OsnPodaci!$D$31)</f>
        <v>Dženan Prevljak, direktor</v>
      </c>
    </row>
    <row r="39" spans="1:60" s="70" customFormat="1" ht="26.25" customHeight="1">
      <c r="A39" s="69"/>
      <c r="B39" s="69"/>
      <c r="C39" s="69"/>
      <c r="D39" s="69"/>
      <c r="E39" s="69"/>
      <c r="F39" s="69"/>
      <c r="G39" s="69"/>
      <c r="H39" s="69"/>
      <c r="I39" s="69"/>
      <c r="J39" s="750" t="s">
        <v>2614</v>
      </c>
      <c r="K39" s="304"/>
      <c r="L39" s="304"/>
      <c r="M39" s="304"/>
      <c r="N39" s="304"/>
      <c r="O39" s="304"/>
      <c r="P39" s="305"/>
      <c r="Q39" s="306"/>
      <c r="R39" s="306"/>
      <c r="S39" s="307"/>
      <c r="T39" s="307"/>
      <c r="U39" s="307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9" t="s">
        <v>2209</v>
      </c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4"/>
      <c r="BB39" s="304"/>
      <c r="BC39" s="304"/>
      <c r="BD39" s="304"/>
      <c r="BE39" s="304"/>
      <c r="BF39" s="304"/>
      <c r="BG39" s="304"/>
      <c r="BH39" s="751" t="s">
        <v>1951</v>
      </c>
    </row>
    <row r="40" spans="1:60" ht="30.75" customHeight="1">
      <c r="J40" s="310"/>
      <c r="K40" s="310"/>
      <c r="L40" s="310"/>
      <c r="M40" s="310"/>
      <c r="N40" s="310"/>
      <c r="O40" s="295"/>
      <c r="P40" s="292"/>
      <c r="Q40" s="294"/>
      <c r="R40" s="294"/>
      <c r="S40" s="310"/>
      <c r="T40" s="310"/>
      <c r="U40" s="310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310"/>
      <c r="BA40" s="310"/>
      <c r="BB40" s="310"/>
      <c r="BC40" s="310"/>
      <c r="BD40" s="310"/>
      <c r="BE40" s="310"/>
      <c r="BF40" s="310"/>
      <c r="BG40" s="310"/>
      <c r="BH40" s="310"/>
    </row>
    <row r="41" spans="1:60" ht="26.25" customHeight="1">
      <c r="K41" s="311"/>
      <c r="L41" s="311"/>
      <c r="M41" s="311"/>
      <c r="N41" s="311"/>
      <c r="O41" s="311"/>
      <c r="P41" s="311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BH41" s="71" t="str">
        <f>CONCATENATE("*",'#Konverter'!AD24,F38,G38,H38,I38,"*")</f>
        <v>*324140037926048*</v>
      </c>
    </row>
    <row r="42" spans="1:60" ht="26.25" customHeight="1">
      <c r="K42" s="311"/>
      <c r="L42" s="311"/>
      <c r="M42" s="311"/>
      <c r="N42" s="311"/>
      <c r="O42" s="311"/>
      <c r="P42" s="311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BH42" s="71"/>
    </row>
    <row r="43" spans="1:60">
      <c r="J43" s="753" t="str">
        <f>IF(F38&amp;G38&amp;H38&amp;I38="","Obrazac prazan - unesite cifru na barem jednu poziciju.","Kontrolni broj: "&amp;MID(BH41,2,LEN(BH41)-2))</f>
        <v>Kontrolni broj: 324140037926048</v>
      </c>
      <c r="K43" s="295"/>
      <c r="L43" s="295"/>
      <c r="M43" s="295"/>
      <c r="N43" s="295"/>
      <c r="O43" s="295"/>
      <c r="P43" s="292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752" t="s">
        <v>2383</v>
      </c>
    </row>
  </sheetData>
  <sheetProtection sheet="1" objects="1" scenarios="1"/>
  <mergeCells count="160">
    <mergeCell ref="BB21:BH21"/>
    <mergeCell ref="J14:BH14"/>
    <mergeCell ref="AR17:AV18"/>
    <mergeCell ref="AW17:BA18"/>
    <mergeCell ref="AN17:AQ19"/>
    <mergeCell ref="AD17:AG19"/>
    <mergeCell ref="AH17:AM19"/>
    <mergeCell ref="L17:AC19"/>
    <mergeCell ref="AW19:BA19"/>
    <mergeCell ref="BB19:BH19"/>
    <mergeCell ref="AR19:AV19"/>
    <mergeCell ref="BB18:BH18"/>
    <mergeCell ref="J17:K19"/>
    <mergeCell ref="BB17:BH17"/>
    <mergeCell ref="J15:BH15"/>
    <mergeCell ref="AW27:BA27"/>
    <mergeCell ref="BB27:BH27"/>
    <mergeCell ref="AH27:AM27"/>
    <mergeCell ref="BB28:BH28"/>
    <mergeCell ref="R27:AC27"/>
    <mergeCell ref="M28:Q32"/>
    <mergeCell ref="R28:AC28"/>
    <mergeCell ref="AD28:AG28"/>
    <mergeCell ref="J23:K27"/>
    <mergeCell ref="R24:AC24"/>
    <mergeCell ref="AD27:AG27"/>
    <mergeCell ref="AN26:AO26"/>
    <mergeCell ref="AN27:AO27"/>
    <mergeCell ref="AW29:BA29"/>
    <mergeCell ref="AH29:AM29"/>
    <mergeCell ref="BB31:BH31"/>
    <mergeCell ref="BB34:BH34"/>
    <mergeCell ref="AR34:AV34"/>
    <mergeCell ref="AR32:AV32"/>
    <mergeCell ref="AW32:BA32"/>
    <mergeCell ref="AN31:AO31"/>
    <mergeCell ref="AH33:AM33"/>
    <mergeCell ref="AH32:AM32"/>
    <mergeCell ref="AP29:AQ29"/>
    <mergeCell ref="AH30:AM30"/>
    <mergeCell ref="BB32:BH32"/>
    <mergeCell ref="AR33:AV33"/>
    <mergeCell ref="AR31:AV31"/>
    <mergeCell ref="AP30:AQ30"/>
    <mergeCell ref="AR30:AV30"/>
    <mergeCell ref="AN32:AO32"/>
    <mergeCell ref="BB29:BH29"/>
    <mergeCell ref="AW30:BA30"/>
    <mergeCell ref="BB30:BH30"/>
    <mergeCell ref="AH31:AM31"/>
    <mergeCell ref="AW33:BA33"/>
    <mergeCell ref="AR36:AV36"/>
    <mergeCell ref="AW36:BA36"/>
    <mergeCell ref="BB36:BH36"/>
    <mergeCell ref="AW35:BA35"/>
    <mergeCell ref="J34:K35"/>
    <mergeCell ref="R35:AC35"/>
    <mergeCell ref="M33:AC33"/>
    <mergeCell ref="AD33:AG33"/>
    <mergeCell ref="AN34:AO34"/>
    <mergeCell ref="AN35:AO35"/>
    <mergeCell ref="AD35:AG35"/>
    <mergeCell ref="AH35:AM35"/>
    <mergeCell ref="BB35:BH35"/>
    <mergeCell ref="AR35:AV35"/>
    <mergeCell ref="AN33:AO33"/>
    <mergeCell ref="BB33:BH33"/>
    <mergeCell ref="BB25:BH25"/>
    <mergeCell ref="AW24:BA24"/>
    <mergeCell ref="BB24:BH24"/>
    <mergeCell ref="AR29:AV29"/>
    <mergeCell ref="AR25:AV25"/>
    <mergeCell ref="AW25:BA25"/>
    <mergeCell ref="AR26:AV26"/>
    <mergeCell ref="AW26:BA26"/>
    <mergeCell ref="M34:Q35"/>
    <mergeCell ref="AD34:AG34"/>
    <mergeCell ref="R34:AC34"/>
    <mergeCell ref="AD26:AG26"/>
    <mergeCell ref="AH26:AM26"/>
    <mergeCell ref="AP24:AQ24"/>
    <mergeCell ref="AP26:AQ26"/>
    <mergeCell ref="AW34:BA34"/>
    <mergeCell ref="AR28:AV28"/>
    <mergeCell ref="AW28:BA28"/>
    <mergeCell ref="AP27:AQ27"/>
    <mergeCell ref="AR27:AV27"/>
    <mergeCell ref="AR24:AV24"/>
    <mergeCell ref="AN29:AO29"/>
    <mergeCell ref="BB26:BH26"/>
    <mergeCell ref="AW31:BA31"/>
    <mergeCell ref="J38:N38"/>
    <mergeCell ref="AP32:AQ32"/>
    <mergeCell ref="AP33:AQ33"/>
    <mergeCell ref="AP31:AQ31"/>
    <mergeCell ref="R32:AC32"/>
    <mergeCell ref="AD32:AG32"/>
    <mergeCell ref="O38:P38"/>
    <mergeCell ref="AP34:AQ34"/>
    <mergeCell ref="AH34:AM34"/>
    <mergeCell ref="J28:K32"/>
    <mergeCell ref="J33:K33"/>
    <mergeCell ref="AN30:AO30"/>
    <mergeCell ref="R29:AC29"/>
    <mergeCell ref="AP35:AQ35"/>
    <mergeCell ref="R31:AC31"/>
    <mergeCell ref="AD31:AG31"/>
    <mergeCell ref="R30:AC30"/>
    <mergeCell ref="AD30:AG30"/>
    <mergeCell ref="J36:K36"/>
    <mergeCell ref="L36:AQ36"/>
    <mergeCell ref="AN28:AO28"/>
    <mergeCell ref="AH28:AM28"/>
    <mergeCell ref="AP28:AQ28"/>
    <mergeCell ref="J20:K20"/>
    <mergeCell ref="L20:AC20"/>
    <mergeCell ref="AD20:AG20"/>
    <mergeCell ref="AH20:AM20"/>
    <mergeCell ref="AN20:AQ20"/>
    <mergeCell ref="J21:K22"/>
    <mergeCell ref="R22:AC22"/>
    <mergeCell ref="AD22:AG22"/>
    <mergeCell ref="AH25:AM25"/>
    <mergeCell ref="AP25:AQ25"/>
    <mergeCell ref="AN21:AO21"/>
    <mergeCell ref="AH24:AM24"/>
    <mergeCell ref="L21:Q22"/>
    <mergeCell ref="R21:AC21"/>
    <mergeCell ref="AD21:AG21"/>
    <mergeCell ref="M23:Q27"/>
    <mergeCell ref="L23:L35"/>
    <mergeCell ref="R23:AC23"/>
    <mergeCell ref="AD29:AG29"/>
    <mergeCell ref="R25:AC25"/>
    <mergeCell ref="AD25:AG25"/>
    <mergeCell ref="R26:AC26"/>
    <mergeCell ref="AY7:BH7"/>
    <mergeCell ref="AD24:AG24"/>
    <mergeCell ref="AH21:AM21"/>
    <mergeCell ref="BB20:BH20"/>
    <mergeCell ref="AH23:AM23"/>
    <mergeCell ref="AP23:AQ23"/>
    <mergeCell ref="AN23:AO23"/>
    <mergeCell ref="AN24:AO24"/>
    <mergeCell ref="AN25:AO25"/>
    <mergeCell ref="AW20:BA20"/>
    <mergeCell ref="BB22:BH22"/>
    <mergeCell ref="AN22:AO22"/>
    <mergeCell ref="AP21:AQ21"/>
    <mergeCell ref="AR20:AV20"/>
    <mergeCell ref="AR21:AV21"/>
    <mergeCell ref="AW21:BA21"/>
    <mergeCell ref="AH22:AM22"/>
    <mergeCell ref="AP22:AQ22"/>
    <mergeCell ref="AR22:AV22"/>
    <mergeCell ref="AW22:BA22"/>
    <mergeCell ref="AR23:AV23"/>
    <mergeCell ref="AD23:AG23"/>
    <mergeCell ref="AW23:BA23"/>
    <mergeCell ref="BB23:BH23"/>
  </mergeCells>
  <conditionalFormatting sqref="J43">
    <cfRule type="containsText" dxfId="14" priority="2" operator="containsText" text="Obrazac prazan">
      <formula>NOT(ISERROR(SEARCH("Obrazac prazan",J43)))</formula>
    </cfRule>
  </conditionalFormatting>
  <dataValidations count="1">
    <dataValidation type="decimal" allowBlank="1" showInputMessage="1" showErrorMessage="1" sqref="AH21:AM35 AW21:BA36" xr:uid="{00000000-0002-0000-0B00-000000000000}">
      <formula1>-9.99999E+307</formula1>
      <formula2>9.99999E+307</formula2>
    </dataValidation>
  </dataValidations>
  <pageMargins left="0.82677165354330717" right="0.39370078740157483" top="0.27559055118110237" bottom="0.23622047244094491" header="0.23622047244094491" footer="0.15748031496062992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E146DCE-5438-498A-AC72-0913D31AB6E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K16:BH16 J9:BH15 J37:BH40 K41:BH42 J43:BH43</xm:sqref>
        </x14:conditionalFormatting>
        <x14:conditionalFormatting xmlns:xm="http://schemas.microsoft.com/office/excel/2006/main">
          <x14:cfRule type="expression" priority="1" id="{4B1F4BC5-AD0B-42EC-BDBB-AA9D44F1DDEE}">
            <xm:f>OR(LEFT(OsnPodaci!$A$55,5)="Reviz",LEFT(OsnPodaci!$A$55,6)="Izjava")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J1:BH15 J17:BH43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tabColor theme="7" tint="-0.499984740745262"/>
    <pageSetUpPr fitToPage="1"/>
  </sheetPr>
  <dimension ref="A1:AP48"/>
  <sheetViews>
    <sheetView showGridLines="0" view="pageLayout" topLeftCell="C10" zoomScale="70" zoomScaleNormal="100" zoomScalePageLayoutView="70" workbookViewId="0">
      <selection activeCell="AI32" sqref="AI32:AO32"/>
    </sheetView>
  </sheetViews>
  <sheetFormatPr defaultColWidth="2.5703125" defaultRowHeight="15.75"/>
  <cols>
    <col min="1" max="1" width="8.7109375" hidden="1" customWidth="1"/>
    <col min="2" max="2" width="12.5703125" hidden="1" customWidth="1"/>
    <col min="3" max="3" width="12.7109375" style="56" bestFit="1" customWidth="1"/>
    <col min="4" max="5" width="2.5703125" style="56" customWidth="1"/>
    <col min="6" max="6" width="9.140625" style="56" bestFit="1" customWidth="1"/>
    <col min="7" max="21" width="2.5703125" style="56" customWidth="1"/>
    <col min="22" max="22" width="3" style="56" customWidth="1"/>
    <col min="23" max="23" width="2.5703125" style="56" customWidth="1"/>
    <col min="24" max="24" width="3.140625" style="56" customWidth="1"/>
    <col min="25" max="25" width="2.5703125" style="56" customWidth="1"/>
    <col min="26" max="26" width="4" style="56" customWidth="1"/>
    <col min="27" max="35" width="2.5703125" style="56" customWidth="1"/>
    <col min="36" max="36" width="2.7109375" style="56" customWidth="1"/>
    <col min="37" max="37" width="5.140625" style="56" customWidth="1"/>
    <col min="38" max="38" width="1.28515625" style="56" customWidth="1"/>
    <col min="39" max="39" width="2" style="56" customWidth="1"/>
    <col min="40" max="40" width="4.140625" style="56" customWidth="1"/>
    <col min="41" max="41" width="1.5703125" style="56" customWidth="1"/>
    <col min="42" max="42" width="4.85546875" style="56" customWidth="1"/>
    <col min="43" max="44" width="2.5703125" style="56" customWidth="1"/>
    <col min="45" max="16384" width="2.5703125" style="56"/>
  </cols>
  <sheetData>
    <row r="1" spans="3:42" ht="22.15" customHeight="1"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3"/>
      <c r="AL1" s="312"/>
      <c r="AM1" s="312"/>
      <c r="AN1" s="754" t="s">
        <v>2664</v>
      </c>
      <c r="AO1" s="312"/>
      <c r="AP1" s="1584" t="str">
        <f>CONCATENATE("*",'#Konverter'!AD25,B34,"*")</f>
        <v>*339172007668*</v>
      </c>
    </row>
    <row r="2" spans="3:42" ht="22.15" customHeight="1"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3"/>
      <c r="AL2" s="312"/>
      <c r="AM2" s="312"/>
      <c r="AN2" s="754"/>
      <c r="AO2" s="312"/>
      <c r="AP2" s="1584"/>
    </row>
    <row r="3" spans="3:42" ht="27" customHeight="1">
      <c r="C3" s="1592" t="s">
        <v>2665</v>
      </c>
      <c r="D3" s="1592"/>
      <c r="E3" s="1592"/>
      <c r="F3" s="1592"/>
      <c r="G3" s="1592"/>
      <c r="H3" s="1592"/>
      <c r="I3" s="1592"/>
      <c r="J3" s="1592"/>
      <c r="K3" s="1592"/>
      <c r="L3" s="1592"/>
      <c r="M3" s="1592"/>
      <c r="N3" s="1592"/>
      <c r="O3" s="1592"/>
      <c r="P3" s="1592"/>
      <c r="Q3" s="1592"/>
      <c r="R3" s="1592"/>
      <c r="S3" s="1592"/>
      <c r="T3" s="1592"/>
      <c r="U3" s="1592"/>
      <c r="V3" s="1592"/>
      <c r="W3" s="1592"/>
      <c r="X3" s="1592"/>
      <c r="Y3" s="1592"/>
      <c r="Z3" s="1592"/>
      <c r="AA3" s="1592"/>
      <c r="AB3" s="1592"/>
      <c r="AC3" s="1592"/>
      <c r="AD3" s="1592"/>
      <c r="AE3" s="1592"/>
      <c r="AF3" s="1592"/>
      <c r="AG3" s="1592"/>
      <c r="AH3" s="1592"/>
      <c r="AI3" s="1592"/>
      <c r="AJ3" s="1592"/>
      <c r="AK3" s="1592"/>
      <c r="AL3" s="1592"/>
      <c r="AM3" s="1592"/>
      <c r="AN3" s="1592"/>
      <c r="AO3" s="1592"/>
      <c r="AP3" s="1584"/>
    </row>
    <row r="4" spans="3:42" ht="25.5">
      <c r="C4" s="1592" t="s">
        <v>2666</v>
      </c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  <c r="R4" s="1592"/>
      <c r="S4" s="1592"/>
      <c r="T4" s="1592"/>
      <c r="U4" s="1592"/>
      <c r="V4" s="1592"/>
      <c r="W4" s="1592"/>
      <c r="X4" s="1592"/>
      <c r="Y4" s="1592"/>
      <c r="Z4" s="1592"/>
      <c r="AA4" s="1592"/>
      <c r="AB4" s="1592"/>
      <c r="AC4" s="1592"/>
      <c r="AD4" s="1592"/>
      <c r="AE4" s="1592"/>
      <c r="AF4" s="1592"/>
      <c r="AG4" s="1592"/>
      <c r="AH4" s="1592"/>
      <c r="AI4" s="1592"/>
      <c r="AJ4" s="1592"/>
      <c r="AK4" s="1592"/>
      <c r="AL4" s="1592"/>
      <c r="AM4" s="1592"/>
      <c r="AN4" s="1592"/>
      <c r="AO4" s="1592"/>
      <c r="AP4" s="1584"/>
    </row>
    <row r="5" spans="3:42" ht="25.5">
      <c r="C5" s="1592" t="s">
        <v>2667</v>
      </c>
      <c r="D5" s="1592"/>
      <c r="E5" s="1592"/>
      <c r="F5" s="1592"/>
      <c r="G5" s="1592"/>
      <c r="H5" s="1592"/>
      <c r="I5" s="1592"/>
      <c r="J5" s="1592"/>
      <c r="K5" s="1592"/>
      <c r="L5" s="1592"/>
      <c r="M5" s="1592"/>
      <c r="N5" s="1592"/>
      <c r="O5" s="1592"/>
      <c r="P5" s="1592"/>
      <c r="Q5" s="1592"/>
      <c r="R5" s="1592"/>
      <c r="S5" s="1592"/>
      <c r="T5" s="1592"/>
      <c r="U5" s="1592"/>
      <c r="V5" s="1592"/>
      <c r="W5" s="1592"/>
      <c r="X5" s="1592"/>
      <c r="Y5" s="1592"/>
      <c r="Z5" s="1592"/>
      <c r="AA5" s="1592"/>
      <c r="AB5" s="1592"/>
      <c r="AC5" s="1592"/>
      <c r="AD5" s="1592"/>
      <c r="AE5" s="1592"/>
      <c r="AF5" s="1592"/>
      <c r="AG5" s="1592"/>
      <c r="AH5" s="1592"/>
      <c r="AI5" s="1592"/>
      <c r="AJ5" s="1592"/>
      <c r="AK5" s="1592"/>
      <c r="AL5" s="1592"/>
      <c r="AM5" s="1592"/>
      <c r="AN5" s="1592"/>
      <c r="AO5" s="1592"/>
      <c r="AP5" s="1584"/>
    </row>
    <row r="6" spans="3:42"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1584"/>
    </row>
    <row r="7" spans="3:42"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1584"/>
    </row>
    <row r="8" spans="3:42" ht="18">
      <c r="C8" s="755" t="str">
        <f>IF(OsnPodaci!$B$4="","",OsnPodaci!$B$4)</f>
        <v>ZIF " prevent INVEST " d.d.</v>
      </c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7"/>
      <c r="Y8" s="757"/>
      <c r="Z8" s="757"/>
      <c r="AA8" s="757"/>
      <c r="AB8" s="757"/>
      <c r="AC8" s="757"/>
      <c r="AD8" s="757"/>
      <c r="AE8" s="757"/>
      <c r="AF8" s="757"/>
      <c r="AG8" s="757"/>
      <c r="AH8" s="757"/>
      <c r="AI8" s="757"/>
      <c r="AJ8" s="757"/>
      <c r="AK8" s="757"/>
      <c r="AL8" s="757"/>
      <c r="AM8" s="757"/>
      <c r="AN8" s="757"/>
      <c r="AO8" s="757"/>
      <c r="AP8" s="1584"/>
    </row>
    <row r="9" spans="3:42" s="57" customFormat="1" ht="24" customHeight="1">
      <c r="C9" s="768" t="s">
        <v>2668</v>
      </c>
      <c r="D9" s="759"/>
      <c r="E9" s="759"/>
      <c r="F9" s="759"/>
      <c r="G9" s="759"/>
      <c r="H9" s="759"/>
      <c r="I9" s="759"/>
      <c r="J9" s="759"/>
      <c r="K9" s="759"/>
      <c r="L9" s="759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757"/>
      <c r="Y9" s="757"/>
      <c r="Z9" s="757"/>
      <c r="AA9" s="757"/>
      <c r="AB9" s="757"/>
      <c r="AC9" s="757"/>
      <c r="AD9" s="757"/>
      <c r="AE9" s="757"/>
      <c r="AF9" s="757"/>
      <c r="AG9" s="757"/>
      <c r="AH9" s="757"/>
      <c r="AI9" s="757"/>
      <c r="AJ9" s="757"/>
      <c r="AK9" s="757"/>
      <c r="AL9" s="757"/>
      <c r="AM9" s="757"/>
      <c r="AN9" s="757"/>
      <c r="AO9" s="757"/>
      <c r="AP9" s="1584"/>
    </row>
    <row r="10" spans="3:42" ht="9.75" customHeight="1">
      <c r="C10" s="757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60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1584"/>
    </row>
    <row r="11" spans="3:42" ht="18">
      <c r="C11" s="755" t="str">
        <f>IF(OsnPodaci!$A$4="","",OsnPodaci!$A$4)</f>
        <v>4200191740002</v>
      </c>
      <c r="D11" s="761"/>
      <c r="E11" s="761"/>
      <c r="F11" s="761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0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1584"/>
    </row>
    <row r="12" spans="3:42" s="57" customFormat="1" ht="24" customHeight="1">
      <c r="C12" s="768" t="s">
        <v>2618</v>
      </c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/>
      <c r="AH12" s="757"/>
      <c r="AI12" s="757"/>
      <c r="AJ12" s="757"/>
      <c r="AK12" s="757"/>
      <c r="AL12" s="757"/>
      <c r="AM12" s="757"/>
      <c r="AN12" s="757"/>
      <c r="AO12" s="757"/>
      <c r="AP12" s="1584"/>
    </row>
    <row r="13" spans="3:42" ht="9.75" customHeight="1">
      <c r="C13" s="757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/>
      <c r="AH13" s="757"/>
      <c r="AI13" s="757"/>
      <c r="AJ13" s="757"/>
      <c r="AK13" s="757"/>
      <c r="AL13" s="757"/>
      <c r="AM13" s="757"/>
      <c r="AN13" s="757"/>
      <c r="AO13" s="757"/>
      <c r="AP13" s="1584"/>
    </row>
    <row r="14" spans="3:42" s="58" customFormat="1" ht="18">
      <c r="C14" s="755" t="str">
        <f>IF(OsnPodaci!$A$10="","",OsnPodaci!$A$10)</f>
        <v>Sarajevo-Novi Grad</v>
      </c>
      <c r="D14" s="761"/>
      <c r="E14" s="763"/>
      <c r="F14" s="763"/>
      <c r="G14" s="763"/>
      <c r="H14" s="763"/>
      <c r="I14" s="761"/>
      <c r="K14" s="761"/>
      <c r="L14" s="761"/>
      <c r="M14" s="761"/>
      <c r="N14" s="761"/>
      <c r="O14" s="761"/>
      <c r="P14" s="761"/>
      <c r="Q14" s="761"/>
      <c r="R14" s="761"/>
      <c r="S14" s="761"/>
      <c r="T14" s="757"/>
      <c r="U14" s="757"/>
      <c r="V14" s="757"/>
      <c r="W14" s="762"/>
      <c r="X14" s="762"/>
      <c r="Y14" s="761"/>
      <c r="Z14" s="763"/>
      <c r="AA14" s="763"/>
      <c r="AB14" s="763"/>
      <c r="AC14" s="761"/>
      <c r="AD14" s="761"/>
      <c r="AE14" s="761"/>
      <c r="AF14" s="761"/>
      <c r="AG14" s="761"/>
      <c r="AH14" s="761"/>
      <c r="AI14" s="761"/>
      <c r="AJ14" s="755"/>
      <c r="AK14" s="755"/>
      <c r="AL14" s="761"/>
      <c r="AM14" s="761"/>
      <c r="AN14" s="764" t="str">
        <f>IF(OsnPodaci!$A$13="","",OsnPodaci!$A$13)</f>
        <v>Bulevar Meše Selimovića 16</v>
      </c>
      <c r="AP14" s="1584"/>
    </row>
    <row r="15" spans="3:42" s="59" customFormat="1" ht="24" customHeight="1">
      <c r="C15" s="768" t="s">
        <v>2669</v>
      </c>
      <c r="D15" s="765"/>
      <c r="E15" s="765"/>
      <c r="F15" s="765"/>
      <c r="G15" s="765"/>
      <c r="H15" s="765"/>
      <c r="I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58"/>
      <c r="AK15" s="758"/>
      <c r="AL15" s="765"/>
      <c r="AM15" s="765"/>
      <c r="AN15" s="769" t="s">
        <v>1939</v>
      </c>
      <c r="AP15" s="1584"/>
    </row>
    <row r="16" spans="3:42" ht="9.75" customHeight="1">
      <c r="C16" s="757"/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7"/>
      <c r="AN16" s="757"/>
      <c r="AO16" s="757"/>
      <c r="AP16" s="1584"/>
    </row>
    <row r="17" spans="1:42" s="58" customFormat="1" ht="18">
      <c r="C17" s="1583" t="str">
        <f>IF(OsnPodaci!$B$19="","",OsnPodaci!$B$19)</f>
        <v>Trustovi, ostali fondovi i slični finansijski subjekti</v>
      </c>
      <c r="D17" s="1583"/>
      <c r="E17" s="1583"/>
      <c r="F17" s="1583"/>
      <c r="G17" s="1583"/>
      <c r="H17" s="1583"/>
      <c r="I17" s="1583"/>
      <c r="J17" s="1583"/>
      <c r="K17" s="1583"/>
      <c r="L17" s="1583"/>
      <c r="M17" s="1583"/>
      <c r="N17" s="1583"/>
      <c r="O17" s="1583"/>
      <c r="P17" s="1583"/>
      <c r="Q17" s="1583"/>
      <c r="R17" s="1583"/>
      <c r="S17" s="1583"/>
      <c r="T17" s="1583"/>
      <c r="U17" s="1583"/>
      <c r="V17" s="1583"/>
      <c r="W17" s="1583"/>
      <c r="X17" s="1583"/>
      <c r="Y17" s="1583"/>
      <c r="Z17" s="1583"/>
      <c r="AA17" s="1583"/>
      <c r="AB17" s="1583"/>
      <c r="AC17" s="1583"/>
      <c r="AD17" s="1583"/>
      <c r="AE17" s="1583"/>
      <c r="AF17" s="1583"/>
      <c r="AG17" s="1583"/>
      <c r="AH17" s="1583"/>
      <c r="AI17" s="767"/>
      <c r="AJ17" s="767"/>
      <c r="AK17" s="767"/>
      <c r="AL17" s="761"/>
      <c r="AM17" s="761"/>
      <c r="AN17" s="761"/>
      <c r="AO17" s="761"/>
      <c r="AP17" s="1584"/>
    </row>
    <row r="18" spans="1:42" s="57" customFormat="1" ht="33.75" customHeight="1">
      <c r="C18" s="1583"/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  <c r="S18" s="1583"/>
      <c r="T18" s="1583"/>
      <c r="U18" s="1583"/>
      <c r="V18" s="1583"/>
      <c r="W18" s="1583"/>
      <c r="X18" s="1583"/>
      <c r="Y18" s="1583"/>
      <c r="Z18" s="1583"/>
      <c r="AA18" s="1583"/>
      <c r="AB18" s="1583"/>
      <c r="AC18" s="1583"/>
      <c r="AD18" s="1583"/>
      <c r="AE18" s="1583"/>
      <c r="AF18" s="1583"/>
      <c r="AG18" s="1583"/>
      <c r="AH18" s="1583"/>
      <c r="AI18" s="757"/>
      <c r="AJ18" s="757"/>
      <c r="AK18" s="757"/>
      <c r="AL18" s="757"/>
      <c r="AM18" s="757"/>
      <c r="AN18" s="757"/>
      <c r="AO18" s="764" t="str">
        <f>IF(OsnPodaci!$A$19="","",OsnPodaci!$A$19)</f>
        <v>64.30</v>
      </c>
      <c r="AP18" s="1584"/>
    </row>
    <row r="19" spans="1:42" ht="18">
      <c r="C19" s="768" t="s">
        <v>1947</v>
      </c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769" t="s">
        <v>7</v>
      </c>
    </row>
    <row r="20" spans="1:42"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</row>
    <row r="21" spans="1:42"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</row>
    <row r="22" spans="1:42"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</row>
    <row r="23" spans="1:42" ht="20.25">
      <c r="C23" s="1591" t="str">
        <f>CONCATENATE("IZVJEŠTAJ ZA PERIOD OD ",DAY(OsnPodaci!$A$58),".",MONTH(OsnPodaci!$A$58),".",YEAR(OsnPodaci!$A$58),". do ",DAY(OsnPodaci!$B$58),".",MONTH(OsnPodaci!$B$58),".",YEAR(OsnPodaci!$B$58),". GODINE")</f>
        <v>IZVJEŠTAJ ZA PERIOD OD 1.1.2022. do 31.12.2022. GODINE</v>
      </c>
      <c r="D23" s="1591"/>
      <c r="E23" s="1591"/>
      <c r="F23" s="1591"/>
      <c r="G23" s="1591"/>
      <c r="H23" s="1591"/>
      <c r="I23" s="1591"/>
      <c r="J23" s="1591"/>
      <c r="K23" s="1591"/>
      <c r="L23" s="1591"/>
      <c r="M23" s="1591"/>
      <c r="N23" s="1591"/>
      <c r="O23" s="1591"/>
      <c r="P23" s="1591"/>
      <c r="Q23" s="1591"/>
      <c r="R23" s="1591"/>
      <c r="S23" s="1591"/>
      <c r="T23" s="1591"/>
      <c r="U23" s="1591"/>
      <c r="V23" s="1591"/>
      <c r="W23" s="1591"/>
      <c r="X23" s="1591"/>
      <c r="Y23" s="1591"/>
      <c r="Z23" s="1591"/>
      <c r="AA23" s="1591"/>
      <c r="AB23" s="1591"/>
      <c r="AC23" s="1591"/>
      <c r="AD23" s="1591"/>
      <c r="AE23" s="1591"/>
      <c r="AF23" s="1591"/>
      <c r="AG23" s="1591"/>
      <c r="AH23" s="1591"/>
      <c r="AI23" s="1591"/>
      <c r="AJ23" s="1591"/>
      <c r="AK23" s="1591"/>
      <c r="AL23" s="1591"/>
      <c r="AM23" s="1591"/>
      <c r="AN23" s="1591"/>
      <c r="AO23" s="1591"/>
    </row>
    <row r="24" spans="1:42">
      <c r="C24" s="314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</row>
    <row r="25" spans="1:42" s="60" customFormat="1" ht="20.25" customHeight="1">
      <c r="C25" s="1608" t="s">
        <v>2670</v>
      </c>
      <c r="D25" s="1609"/>
      <c r="E25" s="1570" t="s">
        <v>2671</v>
      </c>
      <c r="F25" s="1571"/>
      <c r="G25" s="1571"/>
      <c r="H25" s="1571"/>
      <c r="I25" s="1571"/>
      <c r="J25" s="1571"/>
      <c r="K25" s="1571"/>
      <c r="L25" s="1571"/>
      <c r="M25" s="1571"/>
      <c r="N25" s="1571"/>
      <c r="O25" s="1571"/>
      <c r="P25" s="1571"/>
      <c r="Q25" s="1571"/>
      <c r="R25" s="1571"/>
      <c r="S25" s="1571"/>
      <c r="T25" s="1571"/>
      <c r="U25" s="1571"/>
      <c r="V25" s="1571"/>
      <c r="W25" s="1571"/>
      <c r="X25" s="1571"/>
      <c r="Y25" s="1571"/>
      <c r="Z25" s="1571"/>
      <c r="AA25" s="1571"/>
      <c r="AB25" s="1571"/>
      <c r="AC25" s="1571"/>
      <c r="AD25" s="1572"/>
      <c r="AE25" s="1539" t="s">
        <v>2359</v>
      </c>
      <c r="AF25" s="1534"/>
      <c r="AG25" s="1534"/>
      <c r="AH25" s="1540"/>
      <c r="AI25" s="1533" t="s">
        <v>2672</v>
      </c>
      <c r="AJ25" s="1534"/>
      <c r="AK25" s="1534"/>
      <c r="AL25" s="1534"/>
      <c r="AM25" s="1534"/>
      <c r="AN25" s="1534"/>
      <c r="AO25" s="1535"/>
    </row>
    <row r="26" spans="1:42" s="60" customFormat="1" ht="16.5" customHeight="1">
      <c r="C26" s="1610" t="s">
        <v>2673</v>
      </c>
      <c r="D26" s="1611"/>
      <c r="E26" s="1573"/>
      <c r="F26" s="1574"/>
      <c r="G26" s="1574"/>
      <c r="H26" s="1574"/>
      <c r="I26" s="1574"/>
      <c r="J26" s="1574"/>
      <c r="K26" s="1574"/>
      <c r="L26" s="1574"/>
      <c r="M26" s="1574"/>
      <c r="N26" s="1574"/>
      <c r="O26" s="1574"/>
      <c r="P26" s="1574"/>
      <c r="Q26" s="1574"/>
      <c r="R26" s="1574"/>
      <c r="S26" s="1574"/>
      <c r="T26" s="1574"/>
      <c r="U26" s="1574"/>
      <c r="V26" s="1574"/>
      <c r="W26" s="1574"/>
      <c r="X26" s="1574"/>
      <c r="Y26" s="1574"/>
      <c r="Z26" s="1574"/>
      <c r="AA26" s="1574"/>
      <c r="AB26" s="1574"/>
      <c r="AC26" s="1574"/>
      <c r="AD26" s="1575"/>
      <c r="AE26" s="1541"/>
      <c r="AF26" s="1537"/>
      <c r="AG26" s="1537"/>
      <c r="AH26" s="1542"/>
      <c r="AI26" s="1536"/>
      <c r="AJ26" s="1537"/>
      <c r="AK26" s="1537"/>
      <c r="AL26" s="1537"/>
      <c r="AM26" s="1537"/>
      <c r="AN26" s="1537"/>
      <c r="AO26" s="1538"/>
    </row>
    <row r="27" spans="1:42" s="60" customFormat="1" ht="18.75" customHeight="1">
      <c r="C27" s="1604">
        <v>1</v>
      </c>
      <c r="D27" s="1582"/>
      <c r="E27" s="1567">
        <v>2</v>
      </c>
      <c r="F27" s="1568"/>
      <c r="G27" s="1568"/>
      <c r="H27" s="1568"/>
      <c r="I27" s="1568"/>
      <c r="J27" s="1568"/>
      <c r="K27" s="1568"/>
      <c r="L27" s="1568"/>
      <c r="M27" s="1568"/>
      <c r="N27" s="1568"/>
      <c r="O27" s="1568"/>
      <c r="P27" s="1568"/>
      <c r="Q27" s="1568"/>
      <c r="R27" s="1568"/>
      <c r="S27" s="1568"/>
      <c r="T27" s="1568"/>
      <c r="U27" s="1568"/>
      <c r="V27" s="1568"/>
      <c r="W27" s="1568"/>
      <c r="X27" s="1568"/>
      <c r="Y27" s="1568"/>
      <c r="Z27" s="1568"/>
      <c r="AA27" s="1568"/>
      <c r="AB27" s="1568"/>
      <c r="AC27" s="1568"/>
      <c r="AD27" s="1569"/>
      <c r="AE27" s="1581">
        <v>3</v>
      </c>
      <c r="AF27" s="1549"/>
      <c r="AG27" s="1549"/>
      <c r="AH27" s="1582"/>
      <c r="AI27" s="1548">
        <v>4</v>
      </c>
      <c r="AJ27" s="1549"/>
      <c r="AK27" s="1549"/>
      <c r="AL27" s="1549"/>
      <c r="AM27" s="1549"/>
      <c r="AN27" s="1549"/>
      <c r="AO27" s="1550"/>
    </row>
    <row r="28" spans="1:42" s="61" customFormat="1" ht="29.25" customHeight="1">
      <c r="A28" s="61">
        <v>0.01</v>
      </c>
      <c r="B28" s="61">
        <f>IF(LEN(AI28)=0,"",1+ABS((AI28*A28)/LEN(AI28))+A28)</f>
        <v>55.854137499999993</v>
      </c>
      <c r="C28" s="1472" t="s">
        <v>2091</v>
      </c>
      <c r="D28" s="1473"/>
      <c r="E28" s="1593" t="s">
        <v>2674</v>
      </c>
      <c r="F28" s="1594"/>
      <c r="G28" s="1594"/>
      <c r="H28" s="1594"/>
      <c r="I28" s="1594"/>
      <c r="J28" s="1594"/>
      <c r="K28" s="1594"/>
      <c r="L28" s="1594"/>
      <c r="M28" s="1594"/>
      <c r="N28" s="1594"/>
      <c r="O28" s="1594"/>
      <c r="P28" s="1594"/>
      <c r="Q28" s="1594"/>
      <c r="R28" s="1594"/>
      <c r="S28" s="1594"/>
      <c r="T28" s="1594"/>
      <c r="U28" s="1594"/>
      <c r="V28" s="1594"/>
      <c r="W28" s="1594"/>
      <c r="X28" s="1594"/>
      <c r="Y28" s="1594"/>
      <c r="Z28" s="1594"/>
      <c r="AA28" s="1594"/>
      <c r="AB28" s="1594"/>
      <c r="AC28" s="1594"/>
      <c r="AD28" s="1595"/>
      <c r="AE28" s="1551">
        <v>722581</v>
      </c>
      <c r="AF28" s="1552"/>
      <c r="AG28" s="1552"/>
      <c r="AH28" s="1553"/>
      <c r="AI28" s="1554">
        <v>43875.31</v>
      </c>
      <c r="AJ28" s="1374"/>
      <c r="AK28" s="1374"/>
      <c r="AL28" s="1374"/>
      <c r="AM28" s="1374"/>
      <c r="AN28" s="1374"/>
      <c r="AO28" s="1555"/>
    </row>
    <row r="29" spans="1:42" s="61" customFormat="1" ht="29.25" customHeight="1">
      <c r="A29" s="61">
        <v>0.02</v>
      </c>
      <c r="B29" s="61">
        <f>IF(LEN(AI29)=0,"",1+ABS((AI29*A29)/LEN(AI29))+A29)</f>
        <v>56.220000000000006</v>
      </c>
      <c r="C29" s="1599"/>
      <c r="D29" s="1600"/>
      <c r="E29" s="1596"/>
      <c r="F29" s="1597"/>
      <c r="G29" s="1597"/>
      <c r="H29" s="1597"/>
      <c r="I29" s="1597"/>
      <c r="J29" s="1597"/>
      <c r="K29" s="1597"/>
      <c r="L29" s="1597"/>
      <c r="M29" s="1597"/>
      <c r="N29" s="1597"/>
      <c r="O29" s="1597"/>
      <c r="P29" s="1597"/>
      <c r="Q29" s="1597"/>
      <c r="R29" s="1597"/>
      <c r="S29" s="1597"/>
      <c r="T29" s="1597"/>
      <c r="U29" s="1597"/>
      <c r="V29" s="1597"/>
      <c r="W29" s="1597"/>
      <c r="X29" s="1597"/>
      <c r="Y29" s="1597"/>
      <c r="Z29" s="1597"/>
      <c r="AA29" s="1597"/>
      <c r="AB29" s="1597"/>
      <c r="AC29" s="1597"/>
      <c r="AD29" s="1598"/>
      <c r="AE29" s="1556">
        <v>722582</v>
      </c>
      <c r="AF29" s="1557"/>
      <c r="AG29" s="1557"/>
      <c r="AH29" s="1558"/>
      <c r="AI29" s="1559">
        <v>13800</v>
      </c>
      <c r="AJ29" s="1560"/>
      <c r="AK29" s="1560"/>
      <c r="AL29" s="1560"/>
      <c r="AM29" s="1560"/>
      <c r="AN29" s="1560"/>
      <c r="AO29" s="1561"/>
    </row>
    <row r="30" spans="1:42" s="61" customFormat="1" ht="29.25" customHeight="1">
      <c r="A30" s="61">
        <v>0.03</v>
      </c>
      <c r="C30" s="1546" t="s">
        <v>2093</v>
      </c>
      <c r="D30" s="1547"/>
      <c r="E30" s="1601" t="s">
        <v>2675</v>
      </c>
      <c r="F30" s="1602"/>
      <c r="G30" s="1602"/>
      <c r="H30" s="1602"/>
      <c r="I30" s="1602"/>
      <c r="J30" s="1602"/>
      <c r="K30" s="1602"/>
      <c r="L30" s="1602"/>
      <c r="M30" s="1602"/>
      <c r="N30" s="1602"/>
      <c r="O30" s="1602"/>
      <c r="P30" s="1602"/>
      <c r="Q30" s="1602"/>
      <c r="R30" s="1602"/>
      <c r="S30" s="1602"/>
      <c r="T30" s="1602"/>
      <c r="U30" s="1602"/>
      <c r="V30" s="1602"/>
      <c r="W30" s="1602"/>
      <c r="X30" s="1602"/>
      <c r="Y30" s="1602"/>
      <c r="Z30" s="1602"/>
      <c r="AA30" s="1602"/>
      <c r="AB30" s="1602"/>
      <c r="AC30" s="1602"/>
      <c r="AD30" s="1603"/>
      <c r="AE30" s="1562"/>
      <c r="AF30" s="1563"/>
      <c r="AG30" s="1563"/>
      <c r="AH30" s="1547"/>
      <c r="AI30" s="1588">
        <v>5.0000000000000001E-3</v>
      </c>
      <c r="AJ30" s="1589"/>
      <c r="AK30" s="1589"/>
      <c r="AL30" s="1589"/>
      <c r="AM30" s="1589"/>
      <c r="AN30" s="1589"/>
      <c r="AO30" s="1590"/>
    </row>
    <row r="31" spans="1:42" s="61" customFormat="1" ht="29.25" customHeight="1">
      <c r="A31" s="61">
        <v>0.04</v>
      </c>
      <c r="B31" s="61">
        <f>IF(LEN(AI31)=0,"",1+ABS((AI31*A31)/LEN(AI31))+A31)</f>
        <v>2.5025333333333331</v>
      </c>
      <c r="C31" s="1472" t="s">
        <v>2101</v>
      </c>
      <c r="D31" s="1473"/>
      <c r="E31" s="1605" t="s">
        <v>2628</v>
      </c>
      <c r="F31" s="1606"/>
      <c r="G31" s="1606"/>
      <c r="H31" s="1606"/>
      <c r="I31" s="1606"/>
      <c r="J31" s="1606"/>
      <c r="K31" s="1606"/>
      <c r="L31" s="1606"/>
      <c r="M31" s="1606"/>
      <c r="N31" s="1606"/>
      <c r="O31" s="1606"/>
      <c r="P31" s="1606"/>
      <c r="Q31" s="1606"/>
      <c r="R31" s="1606"/>
      <c r="S31" s="1606"/>
      <c r="T31" s="1606"/>
      <c r="U31" s="1606"/>
      <c r="V31" s="1606"/>
      <c r="W31" s="1606"/>
      <c r="X31" s="1606"/>
      <c r="Y31" s="1606"/>
      <c r="Z31" s="1606"/>
      <c r="AA31" s="1606"/>
      <c r="AB31" s="1606"/>
      <c r="AC31" s="1606"/>
      <c r="AD31" s="1607"/>
      <c r="AE31" s="1562">
        <v>722581</v>
      </c>
      <c r="AF31" s="1563"/>
      <c r="AG31" s="1563"/>
      <c r="AH31" s="1547"/>
      <c r="AI31" s="1564">
        <f>IF(AI28="","",ROUND(AI28*AI30,2))</f>
        <v>219.38</v>
      </c>
      <c r="AJ31" s="1565"/>
      <c r="AK31" s="1565"/>
      <c r="AL31" s="1565"/>
      <c r="AM31" s="1565"/>
      <c r="AN31" s="1565"/>
      <c r="AO31" s="1566"/>
    </row>
    <row r="32" spans="1:42" s="61" customFormat="1" ht="29.25" customHeight="1">
      <c r="A32" s="61">
        <v>0.05</v>
      </c>
      <c r="B32" s="61">
        <f>IF(LEN(AI32)=0,"",1+ABS((AI32*A32)/LEN(AI32))+A32)</f>
        <v>2.7749999999999999</v>
      </c>
      <c r="C32" s="1576"/>
      <c r="D32" s="1577"/>
      <c r="E32" s="1578" t="s">
        <v>2676</v>
      </c>
      <c r="F32" s="1579"/>
      <c r="G32" s="1579"/>
      <c r="H32" s="1579"/>
      <c r="I32" s="1579"/>
      <c r="J32" s="1579"/>
      <c r="K32" s="1579"/>
      <c r="L32" s="1579"/>
      <c r="M32" s="1579"/>
      <c r="N32" s="1579"/>
      <c r="O32" s="1579"/>
      <c r="P32" s="1579"/>
      <c r="Q32" s="1579"/>
      <c r="R32" s="1579"/>
      <c r="S32" s="1579"/>
      <c r="T32" s="1579"/>
      <c r="U32" s="1579"/>
      <c r="V32" s="1579"/>
      <c r="W32" s="1579"/>
      <c r="X32" s="1579"/>
      <c r="Y32" s="1579"/>
      <c r="Z32" s="1579"/>
      <c r="AA32" s="1579"/>
      <c r="AB32" s="1579"/>
      <c r="AC32" s="1579"/>
      <c r="AD32" s="1580"/>
      <c r="AE32" s="1543">
        <v>722582</v>
      </c>
      <c r="AF32" s="1544"/>
      <c r="AG32" s="1544"/>
      <c r="AH32" s="1545"/>
      <c r="AI32" s="1585">
        <f>IF(AI29="","",ROUND(AI29*AI30,2))</f>
        <v>69</v>
      </c>
      <c r="AJ32" s="1586"/>
      <c r="AK32" s="1586"/>
      <c r="AL32" s="1586"/>
      <c r="AM32" s="1586"/>
      <c r="AN32" s="1586"/>
      <c r="AO32" s="1587"/>
    </row>
    <row r="33" spans="1:42">
      <c r="B33">
        <f>IF(ISERROR(ABS(LOG(ABS(SUM(B28:B32)),EXP(3)))),"",ABS(LOG(ABS(SUM(B28:B32)),EXP(3))))</f>
        <v>1.5883917200766808</v>
      </c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</row>
    <row r="34" spans="1:42" ht="26.25" customHeight="1">
      <c r="B34" s="62" t="str">
        <f>IF(ISERROR(IF(ISERROR(MID(B33,FIND(".",B33,1)+5,13)),MID(B33,FIND(",",B33,1)+5,13),MID(B33,FIND(".",B33,1)+5,13))),"",IF(ISERROR(MID(B33,FIND(".",B33,1)+5,13)),MID(B33,FIND(",",B33,1)+5,13),MID(B33,FIND(".",B33,1)+5,13)))</f>
        <v>9172007668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</row>
    <row r="35" spans="1:42" s="63" customFormat="1" ht="20.25">
      <c r="C35" s="755" t="str">
        <f>IF(OR(OsnPodaci!A10="",TEXT(OsnPodaci!D58,"dd.mm.yyyy.")=""),"",OsnPodaci!A10 &amp; ", " &amp;TEXT(OsnPodaci!D58,"dd.mm.yyyy."))</f>
        <v>Sarajevo-Novi Grad, 28.02.2023.</v>
      </c>
      <c r="D35" s="770"/>
      <c r="E35" s="770"/>
      <c r="F35" s="770"/>
      <c r="G35" s="757"/>
      <c r="H35" s="757"/>
      <c r="I35" s="771"/>
      <c r="J35" s="771"/>
      <c r="K35" s="771"/>
      <c r="L35" s="771"/>
      <c r="M35" s="757"/>
      <c r="N35" s="757"/>
      <c r="O35" s="757"/>
      <c r="P35" s="757"/>
      <c r="Q35" s="757"/>
      <c r="R35" s="757"/>
      <c r="S35" s="757"/>
      <c r="T35" s="757"/>
      <c r="U35" s="757"/>
      <c r="V35" s="757"/>
      <c r="W35" s="757"/>
      <c r="X35" s="757"/>
      <c r="Y35" s="757"/>
      <c r="Z35" s="757"/>
      <c r="AA35" s="757"/>
      <c r="AB35" s="757"/>
      <c r="AC35" s="757"/>
      <c r="AD35" s="757"/>
      <c r="AE35" s="757"/>
      <c r="AF35" s="757"/>
      <c r="AG35" s="757"/>
      <c r="AH35" s="757"/>
      <c r="AI35" s="757"/>
      <c r="AJ35" s="757"/>
      <c r="AK35" s="757"/>
      <c r="AL35" s="757"/>
      <c r="AM35" s="757"/>
      <c r="AN35" s="757"/>
      <c r="AO35" s="757"/>
    </row>
    <row r="36" spans="1:42" s="63" customFormat="1" ht="25.5" customHeight="1">
      <c r="C36" s="768" t="s">
        <v>2205</v>
      </c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7"/>
      <c r="Z36" s="757"/>
      <c r="AA36" s="757"/>
      <c r="AB36" s="757"/>
      <c r="AC36" s="757"/>
      <c r="AD36" s="757"/>
      <c r="AE36" s="757"/>
      <c r="AF36" s="757"/>
      <c r="AG36" s="757"/>
      <c r="AH36" s="757"/>
      <c r="AI36" s="757"/>
      <c r="AJ36" s="757"/>
      <c r="AK36" s="757"/>
      <c r="AL36" s="757"/>
      <c r="AM36" s="757"/>
      <c r="AN36" s="757"/>
      <c r="AO36" s="757"/>
    </row>
    <row r="37" spans="1:42" s="63" customFormat="1" ht="20.25"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7"/>
      <c r="AJ37" s="757"/>
      <c r="AK37" s="757"/>
      <c r="AL37" s="757"/>
      <c r="AM37" s="757"/>
      <c r="AN37" s="757"/>
      <c r="AO37" s="757"/>
    </row>
    <row r="38" spans="1:42" s="63" customFormat="1" ht="20.25">
      <c r="C38" s="755" t="str">
        <f>LEFT(OsnPodaci!$A$67,FIND(";",OsnPodaci!$A$67,1)-1)</f>
        <v>HADŽIALIĆ (AHMET) AZIRA</v>
      </c>
      <c r="D38" s="755"/>
      <c r="E38" s="755"/>
      <c r="F38" s="755"/>
      <c r="G38" s="755"/>
      <c r="H38" s="755"/>
      <c r="I38" s="755"/>
      <c r="J38" s="755"/>
      <c r="K38" s="755"/>
      <c r="L38" s="755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64"/>
      <c r="AC38" s="764"/>
      <c r="AD38" s="764"/>
      <c r="AE38" s="764"/>
      <c r="AF38" s="764"/>
      <c r="AG38" s="764"/>
      <c r="AH38" s="764"/>
      <c r="AI38" s="764"/>
      <c r="AJ38" s="764"/>
      <c r="AK38" s="757"/>
      <c r="AL38" s="757"/>
      <c r="AM38" s="757"/>
      <c r="AN38" s="757"/>
      <c r="AO38" s="764" t="str">
        <f>CONCATENATE(OsnPodaci!$A$31," ",OsnPodaci!$B$31,", ",OsnPodaci!$D$31)</f>
        <v>Dženan Prevljak, direktor</v>
      </c>
    </row>
    <row r="39" spans="1:42" s="63" customFormat="1" ht="24" customHeight="1">
      <c r="C39" s="768" t="s">
        <v>2677</v>
      </c>
      <c r="D39" s="758"/>
      <c r="E39" s="758"/>
      <c r="F39" s="758"/>
      <c r="G39" s="758"/>
      <c r="H39" s="758"/>
      <c r="I39" s="758"/>
      <c r="J39" s="758"/>
      <c r="K39" s="758"/>
      <c r="L39" s="758"/>
      <c r="M39" s="757"/>
      <c r="N39" s="757"/>
      <c r="O39" s="757"/>
      <c r="P39" s="757"/>
      <c r="Q39" s="757"/>
      <c r="R39" s="757"/>
      <c r="S39" s="757"/>
      <c r="T39" s="757"/>
      <c r="U39" s="761" t="s">
        <v>2209</v>
      </c>
      <c r="V39" s="757"/>
      <c r="W39" s="757"/>
      <c r="X39" s="757"/>
      <c r="Y39" s="757"/>
      <c r="Z39" s="757"/>
      <c r="AA39" s="757"/>
      <c r="AB39" s="757"/>
      <c r="AC39" s="766"/>
      <c r="AD39" s="766"/>
      <c r="AE39" s="766"/>
      <c r="AF39" s="766"/>
      <c r="AG39" s="766"/>
      <c r="AH39" s="766"/>
      <c r="AI39" s="766"/>
      <c r="AJ39" s="766"/>
      <c r="AK39" s="757"/>
      <c r="AL39" s="757"/>
      <c r="AM39" s="757"/>
      <c r="AN39" s="772"/>
      <c r="AO39" s="769" t="s">
        <v>1951</v>
      </c>
    </row>
    <row r="40" spans="1:42" s="63" customFormat="1" ht="69.75" customHeight="1"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57"/>
      <c r="AH40" s="757"/>
      <c r="AI40" s="757"/>
      <c r="AJ40" s="757"/>
      <c r="AK40" s="757"/>
      <c r="AL40" s="757"/>
      <c r="AM40" s="757"/>
      <c r="AN40" s="757"/>
      <c r="AO40" s="757"/>
    </row>
    <row r="41" spans="1:42" ht="76.5" customHeight="1"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64"/>
    </row>
    <row r="42" spans="1:42" ht="90" customHeight="1">
      <c r="C42" s="315"/>
      <c r="D42" s="315"/>
      <c r="E42" s="316"/>
      <c r="F42" s="311"/>
      <c r="G42" s="311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64"/>
    </row>
    <row r="44" spans="1:42"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64"/>
    </row>
    <row r="45" spans="1:42"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 t="s">
        <v>2678</v>
      </c>
      <c r="AN45" s="312"/>
      <c r="AO45" s="312"/>
    </row>
    <row r="46" spans="1:42"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</row>
    <row r="47" spans="1:42" s="781" customFormat="1" ht="21.75">
      <c r="A47" s="773"/>
      <c r="B47" s="773"/>
      <c r="C47" s="774" t="str">
        <f>IF(B35="","Obrazac prazan - unesite cifru na barem jednu poziciju.","Kontrolni broj: "&amp;MID(AP1,2,LEN(AP1)-2))</f>
        <v>Obrazac prazan - unesite cifru na barem jednu poziciju.</v>
      </c>
      <c r="D47" s="775"/>
      <c r="E47" s="776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77"/>
      <c r="R47" s="777"/>
      <c r="S47" s="777"/>
      <c r="T47" s="777"/>
      <c r="U47" s="777"/>
      <c r="V47" s="777"/>
      <c r="W47" s="777"/>
      <c r="X47" s="777"/>
      <c r="Y47" s="777"/>
      <c r="Z47" s="778"/>
      <c r="AA47" s="778"/>
      <c r="AB47" s="778"/>
      <c r="AC47" s="778"/>
      <c r="AD47" s="778"/>
      <c r="AE47" s="778"/>
      <c r="AF47" s="778"/>
      <c r="AG47" s="778"/>
      <c r="AH47" s="778"/>
      <c r="AI47" s="778"/>
      <c r="AJ47" s="778"/>
      <c r="AK47" s="778"/>
      <c r="AL47" s="778"/>
      <c r="AM47" s="778"/>
      <c r="AN47" s="778"/>
      <c r="AO47" s="779" t="s">
        <v>2383</v>
      </c>
      <c r="AP47" s="780"/>
    </row>
    <row r="48" spans="1:42"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</row>
  </sheetData>
  <sheetProtection sheet="1" objects="1" scenarios="1"/>
  <mergeCells count="32">
    <mergeCell ref="C17:AH18"/>
    <mergeCell ref="AP1:AP18"/>
    <mergeCell ref="AI32:AO32"/>
    <mergeCell ref="AI30:AO30"/>
    <mergeCell ref="C23:AO23"/>
    <mergeCell ref="C3:AO3"/>
    <mergeCell ref="C4:AO4"/>
    <mergeCell ref="C5:AO5"/>
    <mergeCell ref="E28:AD29"/>
    <mergeCell ref="C28:D29"/>
    <mergeCell ref="E30:AD30"/>
    <mergeCell ref="C27:D27"/>
    <mergeCell ref="E31:AD31"/>
    <mergeCell ref="AE30:AH30"/>
    <mergeCell ref="C25:D25"/>
    <mergeCell ref="C26:D26"/>
    <mergeCell ref="AI25:AO26"/>
    <mergeCell ref="AE25:AH26"/>
    <mergeCell ref="AE32:AH32"/>
    <mergeCell ref="C30:D30"/>
    <mergeCell ref="AI27:AO27"/>
    <mergeCell ref="AE28:AH28"/>
    <mergeCell ref="AI28:AO28"/>
    <mergeCell ref="AE29:AH29"/>
    <mergeCell ref="AI29:AO29"/>
    <mergeCell ref="AE31:AH31"/>
    <mergeCell ref="AI31:AO31"/>
    <mergeCell ref="E27:AD27"/>
    <mergeCell ref="E25:AD26"/>
    <mergeCell ref="C31:D32"/>
    <mergeCell ref="E32:AD32"/>
    <mergeCell ref="AE27:AH27"/>
  </mergeCells>
  <conditionalFormatting sqref="C47">
    <cfRule type="containsText" dxfId="11" priority="2" operator="containsText" text="Obrazac prazan">
      <formula>NOT(ISERROR(SEARCH("Obrazac prazan",C47)))</formula>
    </cfRule>
  </conditionalFormatting>
  <dataValidations count="1">
    <dataValidation type="decimal" allowBlank="1" showInputMessage="1" showErrorMessage="1" sqref="AI28:AO29" xr:uid="{00000000-0002-0000-0C00-000000000000}">
      <formula1>-9.99999E+307</formula1>
      <formula2>9.99999E+307</formula2>
    </dataValidation>
  </dataValidations>
  <pageMargins left="0.82677165354330695" right="0.27559055118110198" top="0.30244094488188999" bottom="0.23622047244094499" header="0.23622047244094499" footer="0.15748031496063"/>
  <pageSetup paperSize="9" scale="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94C45A-E328-4B3A-9B3F-FED6C062D6A4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D24:AP24 C1:AP13 AP14:AP15 C16:AP16 C19:AP23 C17 AI17:AP18 C14:I15 K14:AN15 AP25:AP32 C33:AP42 C47:AP47</xm:sqref>
        </x14:conditionalFormatting>
        <x14:conditionalFormatting xmlns:xm="http://schemas.microsoft.com/office/excel/2006/main">
          <x14:cfRule type="expression" priority="1" id="{54BE0A8D-34C8-4753-938F-C36B2B368CA7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C25:AO32 C47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theme="7" tint="-0.499984740745262"/>
  </sheetPr>
  <dimension ref="A1:ALE37"/>
  <sheetViews>
    <sheetView showGridLines="0" view="pageLayout" topLeftCell="C1" zoomScale="85" zoomScaleNormal="85" zoomScaleSheetLayoutView="25" zoomScalePageLayoutView="85" workbookViewId="0">
      <selection activeCell="K2" sqref="K2"/>
    </sheetView>
  </sheetViews>
  <sheetFormatPr defaultColWidth="3.140625" defaultRowHeight="18"/>
  <cols>
    <col min="1" max="1" width="5.28515625" style="117" hidden="1" customWidth="1"/>
    <col min="2" max="2" width="13" style="117" hidden="1" customWidth="1"/>
    <col min="3" max="3" width="38" style="116" customWidth="1"/>
    <col min="4" max="4" width="19.5703125" style="116" customWidth="1"/>
    <col min="5" max="5" width="15.42578125" style="116" customWidth="1"/>
    <col min="6" max="6" width="32.7109375" style="116" customWidth="1"/>
    <col min="7" max="7" width="3" style="115" customWidth="1"/>
    <col min="8" max="8" width="4.85546875" style="115" customWidth="1"/>
    <col min="9" max="9" width="3.85546875" style="116" bestFit="1" customWidth="1"/>
    <col min="10" max="993" width="3.140625" style="116" customWidth="1"/>
    <col min="994" max="994" width="3.140625" style="3" customWidth="1"/>
    <col min="995" max="16384" width="3.140625" style="3"/>
  </cols>
  <sheetData>
    <row r="1" spans="1:993" s="116" customFormat="1" ht="20.25">
      <c r="A1" s="114"/>
      <c r="B1" s="114"/>
      <c r="C1" s="1612" t="str">
        <f>IF(OsnPodaci!$B$4="","",OsnPodaci!$B$4)</f>
        <v>ZIF " prevent INVEST " d.d.</v>
      </c>
      <c r="D1" s="1612"/>
      <c r="E1" s="1612"/>
      <c r="F1" s="1612"/>
      <c r="G1" s="115"/>
      <c r="H1" s="1613" t="str">
        <f>"*"&amp;'#Konverter'!AD26&amp;B26&amp;"*"</f>
        <v>*34432819127*</v>
      </c>
    </row>
    <row r="2" spans="1:993" s="116" customFormat="1" ht="26.25" customHeight="1">
      <c r="A2" s="114"/>
      <c r="B2" s="114"/>
      <c r="C2" s="318" t="str">
        <f>IF(OR(OsnPodaci!A10="",OsnPodaci!A13=""),"",OsnPodaci!A10 &amp; ", " &amp; OsnPodaci!A13)</f>
        <v>Sarajevo-Novi Grad, Bulevar Meše Selimovića 16</v>
      </c>
      <c r="D2" s="319"/>
      <c r="E2" s="319"/>
      <c r="F2" s="319"/>
      <c r="G2" s="115"/>
      <c r="H2" s="1613"/>
    </row>
    <row r="3" spans="1:993" s="116" customFormat="1" ht="26.25" customHeight="1">
      <c r="A3" s="114"/>
      <c r="B3" s="114"/>
      <c r="C3" s="318" t="str">
        <f>"JIB: "&amp;OsnPodaci!A4</f>
        <v>JIB: 4200191740002</v>
      </c>
      <c r="D3" s="319"/>
      <c r="E3" s="319"/>
      <c r="F3" s="319"/>
      <c r="G3" s="115"/>
      <c r="H3" s="1613"/>
    </row>
    <row r="4" spans="1:993" s="116" customFormat="1" ht="20.25" customHeight="1">
      <c r="A4" s="114"/>
      <c r="B4" s="114"/>
      <c r="C4" s="32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4" s="321"/>
      <c r="E4" s="321"/>
      <c r="F4" s="321"/>
      <c r="G4" s="115"/>
      <c r="H4" s="1613"/>
    </row>
    <row r="5" spans="1:993">
      <c r="C5" s="321"/>
      <c r="D5" s="321"/>
      <c r="E5" s="321"/>
      <c r="F5" s="321"/>
      <c r="H5" s="1613"/>
    </row>
    <row r="6" spans="1:993" ht="20.25">
      <c r="C6" s="321"/>
      <c r="D6" s="321"/>
      <c r="E6" s="321"/>
      <c r="F6" s="322" t="s">
        <v>2679</v>
      </c>
      <c r="G6" s="118"/>
      <c r="H6" s="1613"/>
    </row>
    <row r="7" spans="1:993" ht="23.25" customHeight="1">
      <c r="C7" s="323"/>
      <c r="D7" s="321"/>
      <c r="E7" s="321"/>
      <c r="F7" s="322" t="s">
        <v>2680</v>
      </c>
      <c r="G7" s="118"/>
      <c r="H7" s="1613"/>
    </row>
    <row r="8" spans="1:993">
      <c r="C8" s="321"/>
      <c r="D8" s="321"/>
      <c r="E8" s="321"/>
      <c r="F8" s="321"/>
      <c r="H8" s="1613"/>
    </row>
    <row r="9" spans="1:993" ht="46.5" customHeight="1">
      <c r="C9" s="321"/>
      <c r="D9" s="321"/>
      <c r="E9" s="321"/>
      <c r="F9" s="321"/>
      <c r="H9" s="1613"/>
    </row>
    <row r="10" spans="1:993" ht="22.5">
      <c r="C10" s="1614" t="s">
        <v>2681</v>
      </c>
      <c r="D10" s="1614"/>
      <c r="E10" s="1614"/>
      <c r="F10" s="1614"/>
      <c r="H10" s="1613"/>
    </row>
    <row r="11" spans="1:993" ht="26.25" customHeight="1">
      <c r="C11" s="321"/>
      <c r="D11" s="321"/>
      <c r="E11" s="321"/>
      <c r="F11" s="321"/>
      <c r="H11" s="1613"/>
    </row>
    <row r="12" spans="1:993">
      <c r="C12" s="324"/>
      <c r="D12" s="321"/>
      <c r="E12" s="321"/>
      <c r="F12" s="321"/>
      <c r="G12" s="119"/>
      <c r="H12" s="1613"/>
    </row>
    <row r="13" spans="1:993">
      <c r="C13" s="321" t="str">
        <f>IF(OR(OsnPodaci!A58="",OsnPodaci!B58=""),"Unijeti interval izvještavanja.","Na osnovu podataka iz finansijskih izvještaja za period od "&amp;TEXT(OsnPodaci!A58,"dd.mm.yyyy.")&amp;" do "&amp;TEXT(OsnPodaci!B58,"dd.mm.yyyy.")&amp;" godine")</f>
        <v>Na osnovu podataka iz finansijskih izvještaja za period od 01.01.2022. do 31.12.2022. godine</v>
      </c>
      <c r="D13" s="321"/>
      <c r="E13" s="321"/>
      <c r="F13" s="325"/>
      <c r="G13" s="120"/>
      <c r="H13" s="1613"/>
    </row>
    <row r="14" spans="1:993">
      <c r="C14" s="321"/>
      <c r="D14" s="321"/>
      <c r="E14" s="321"/>
      <c r="F14" s="321"/>
      <c r="H14" s="1613"/>
    </row>
    <row r="15" spans="1:993" s="116" customFormat="1" ht="50.25" customHeight="1">
      <c r="A15" s="114"/>
      <c r="B15" s="114"/>
      <c r="C15" s="1615" t="str">
        <f>IF(OsnPodaci!B4="","",OsnPodaci!B4)</f>
        <v>ZIF " prevent INVEST " d.d.</v>
      </c>
      <c r="D15" s="1615"/>
      <c r="E15" s="1615"/>
      <c r="F15" s="1615"/>
      <c r="G15" s="121"/>
      <c r="H15" s="1613"/>
    </row>
    <row r="16" spans="1:993" s="124" customFormat="1" ht="30" customHeight="1">
      <c r="A16" s="122"/>
      <c r="B16" s="122"/>
      <c r="C16" s="321" t="s">
        <v>2682</v>
      </c>
      <c r="D16" s="319"/>
      <c r="E16" s="319"/>
      <c r="F16" s="319"/>
      <c r="G16" s="123"/>
      <c r="H16" s="161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  <c r="AAA16" s="123"/>
      <c r="AAB16" s="123"/>
      <c r="AAC16" s="123"/>
      <c r="AAD16" s="123"/>
      <c r="AAE16" s="123"/>
      <c r="AAF16" s="123"/>
      <c r="AAG16" s="123"/>
      <c r="AAH16" s="123"/>
      <c r="AAI16" s="123"/>
      <c r="AAJ16" s="123"/>
      <c r="AAK16" s="123"/>
      <c r="AAL16" s="123"/>
      <c r="AAM16" s="123"/>
      <c r="AAN16" s="123"/>
      <c r="AAO16" s="123"/>
      <c r="AAP16" s="123"/>
      <c r="AAQ16" s="123"/>
      <c r="AAR16" s="123"/>
      <c r="AAS16" s="123"/>
      <c r="AAT16" s="123"/>
      <c r="AAU16" s="123"/>
      <c r="AAV16" s="123"/>
      <c r="AAW16" s="123"/>
      <c r="AAX16" s="123"/>
      <c r="AAY16" s="123"/>
      <c r="AAZ16" s="123"/>
      <c r="ABA16" s="123"/>
      <c r="ABB16" s="123"/>
      <c r="ABC16" s="123"/>
      <c r="ABD16" s="123"/>
      <c r="ABE16" s="123"/>
      <c r="ABF16" s="123"/>
      <c r="ABG16" s="123"/>
      <c r="ABH16" s="123"/>
      <c r="ABI16" s="123"/>
      <c r="ABJ16" s="123"/>
      <c r="ABK16" s="123"/>
      <c r="ABL16" s="123"/>
      <c r="ABM16" s="123"/>
      <c r="ABN16" s="123"/>
      <c r="ABO16" s="123"/>
      <c r="ABP16" s="123"/>
      <c r="ABQ16" s="123"/>
      <c r="ABR16" s="123"/>
      <c r="ABS16" s="123"/>
      <c r="ABT16" s="123"/>
      <c r="ABU16" s="123"/>
      <c r="ABV16" s="123"/>
      <c r="ABW16" s="123"/>
      <c r="ABX16" s="123"/>
      <c r="ABY16" s="123"/>
      <c r="ABZ16" s="123"/>
      <c r="ACA16" s="123"/>
      <c r="ACB16" s="123"/>
      <c r="ACC16" s="123"/>
      <c r="ACD16" s="123"/>
      <c r="ACE16" s="123"/>
      <c r="ACF16" s="123"/>
      <c r="ACG16" s="123"/>
      <c r="ACH16" s="123"/>
      <c r="ACI16" s="123"/>
      <c r="ACJ16" s="123"/>
      <c r="ACK16" s="123"/>
      <c r="ACL16" s="123"/>
      <c r="ACM16" s="123"/>
      <c r="ACN16" s="123"/>
      <c r="ACO16" s="123"/>
      <c r="ACP16" s="123"/>
      <c r="ACQ16" s="123"/>
      <c r="ACR16" s="123"/>
      <c r="ACS16" s="123"/>
      <c r="ACT16" s="123"/>
      <c r="ACU16" s="123"/>
      <c r="ACV16" s="123"/>
      <c r="ACW16" s="123"/>
      <c r="ACX16" s="123"/>
      <c r="ACY16" s="123"/>
      <c r="ACZ16" s="123"/>
      <c r="ADA16" s="123"/>
      <c r="ADB16" s="123"/>
      <c r="ADC16" s="123"/>
      <c r="ADD16" s="123"/>
      <c r="ADE16" s="123"/>
      <c r="ADF16" s="123"/>
      <c r="ADG16" s="123"/>
      <c r="ADH16" s="123"/>
      <c r="ADI16" s="123"/>
      <c r="ADJ16" s="123"/>
      <c r="ADK16" s="123"/>
      <c r="ADL16" s="123"/>
      <c r="ADM16" s="123"/>
      <c r="ADN16" s="123"/>
      <c r="ADO16" s="123"/>
      <c r="ADP16" s="123"/>
      <c r="ADQ16" s="123"/>
      <c r="ADR16" s="123"/>
      <c r="ADS16" s="123"/>
      <c r="ADT16" s="123"/>
      <c r="ADU16" s="123"/>
      <c r="ADV16" s="123"/>
      <c r="ADW16" s="123"/>
      <c r="ADX16" s="123"/>
      <c r="ADY16" s="123"/>
      <c r="ADZ16" s="123"/>
      <c r="AEA16" s="123"/>
      <c r="AEB16" s="123"/>
      <c r="AEC16" s="123"/>
      <c r="AED16" s="123"/>
      <c r="AEE16" s="123"/>
      <c r="AEF16" s="123"/>
      <c r="AEG16" s="123"/>
      <c r="AEH16" s="123"/>
      <c r="AEI16" s="123"/>
      <c r="AEJ16" s="123"/>
      <c r="AEK16" s="123"/>
      <c r="AEL16" s="123"/>
      <c r="AEM16" s="123"/>
      <c r="AEN16" s="123"/>
      <c r="AEO16" s="123"/>
      <c r="AEP16" s="123"/>
      <c r="AEQ16" s="123"/>
      <c r="AER16" s="123"/>
      <c r="AES16" s="123"/>
      <c r="AET16" s="123"/>
      <c r="AEU16" s="123"/>
      <c r="AEV16" s="123"/>
      <c r="AEW16" s="123"/>
      <c r="AEX16" s="123"/>
      <c r="AEY16" s="123"/>
      <c r="AEZ16" s="123"/>
      <c r="AFA16" s="123"/>
      <c r="AFB16" s="123"/>
      <c r="AFC16" s="123"/>
      <c r="AFD16" s="123"/>
      <c r="AFE16" s="123"/>
      <c r="AFF16" s="123"/>
      <c r="AFG16" s="123"/>
      <c r="AFH16" s="123"/>
      <c r="AFI16" s="123"/>
      <c r="AFJ16" s="123"/>
      <c r="AFK16" s="123"/>
      <c r="AFL16" s="123"/>
      <c r="AFM16" s="123"/>
      <c r="AFN16" s="123"/>
      <c r="AFO16" s="123"/>
      <c r="AFP16" s="123"/>
      <c r="AFQ16" s="123"/>
      <c r="AFR16" s="123"/>
      <c r="AFS16" s="123"/>
      <c r="AFT16" s="123"/>
      <c r="AFU16" s="123"/>
      <c r="AFV16" s="123"/>
      <c r="AFW16" s="123"/>
      <c r="AFX16" s="123"/>
      <c r="AFY16" s="123"/>
      <c r="AFZ16" s="123"/>
      <c r="AGA16" s="123"/>
      <c r="AGB16" s="123"/>
      <c r="AGC16" s="123"/>
      <c r="AGD16" s="123"/>
      <c r="AGE16" s="123"/>
      <c r="AGF16" s="123"/>
      <c r="AGG16" s="123"/>
      <c r="AGH16" s="123"/>
      <c r="AGI16" s="123"/>
      <c r="AGJ16" s="123"/>
      <c r="AGK16" s="123"/>
      <c r="AGL16" s="123"/>
      <c r="AGM16" s="123"/>
      <c r="AGN16" s="123"/>
      <c r="AGO16" s="123"/>
      <c r="AGP16" s="123"/>
      <c r="AGQ16" s="123"/>
      <c r="AGR16" s="123"/>
      <c r="AGS16" s="123"/>
      <c r="AGT16" s="123"/>
      <c r="AGU16" s="123"/>
      <c r="AGV16" s="123"/>
      <c r="AGW16" s="123"/>
      <c r="AGX16" s="123"/>
      <c r="AGY16" s="123"/>
      <c r="AGZ16" s="123"/>
      <c r="AHA16" s="123"/>
      <c r="AHB16" s="123"/>
      <c r="AHC16" s="123"/>
      <c r="AHD16" s="123"/>
      <c r="AHE16" s="123"/>
      <c r="AHF16" s="123"/>
      <c r="AHG16" s="123"/>
      <c r="AHH16" s="123"/>
      <c r="AHI16" s="123"/>
      <c r="AHJ16" s="123"/>
      <c r="AHK16" s="123"/>
      <c r="AHL16" s="123"/>
      <c r="AHM16" s="123"/>
      <c r="AHN16" s="123"/>
      <c r="AHO16" s="123"/>
      <c r="AHP16" s="123"/>
      <c r="AHQ16" s="123"/>
      <c r="AHR16" s="123"/>
      <c r="AHS16" s="123"/>
      <c r="AHT16" s="123"/>
      <c r="AHU16" s="123"/>
      <c r="AHV16" s="123"/>
      <c r="AHW16" s="123"/>
      <c r="AHX16" s="123"/>
      <c r="AHY16" s="123"/>
      <c r="AHZ16" s="123"/>
      <c r="AIA16" s="123"/>
      <c r="AIB16" s="123"/>
      <c r="AIC16" s="123"/>
      <c r="AID16" s="123"/>
      <c r="AIE16" s="123"/>
      <c r="AIF16" s="123"/>
      <c r="AIG16" s="123"/>
      <c r="AIH16" s="123"/>
      <c r="AII16" s="123"/>
      <c r="AIJ16" s="123"/>
      <c r="AIK16" s="123"/>
      <c r="AIL16" s="123"/>
      <c r="AIM16" s="123"/>
      <c r="AIN16" s="123"/>
      <c r="AIO16" s="123"/>
      <c r="AIP16" s="123"/>
      <c r="AIQ16" s="123"/>
      <c r="AIR16" s="123"/>
      <c r="AIS16" s="123"/>
      <c r="AIT16" s="123"/>
      <c r="AIU16" s="123"/>
      <c r="AIV16" s="123"/>
      <c r="AIW16" s="123"/>
      <c r="AIX16" s="123"/>
      <c r="AIY16" s="123"/>
      <c r="AIZ16" s="123"/>
      <c r="AJA16" s="123"/>
      <c r="AJB16" s="123"/>
      <c r="AJC16" s="123"/>
      <c r="AJD16" s="123"/>
      <c r="AJE16" s="123"/>
      <c r="AJF16" s="123"/>
      <c r="AJG16" s="123"/>
      <c r="AJH16" s="123"/>
      <c r="AJI16" s="123"/>
      <c r="AJJ16" s="123"/>
      <c r="AJK16" s="123"/>
      <c r="AJL16" s="123"/>
      <c r="AJM16" s="123"/>
      <c r="AJN16" s="123"/>
      <c r="AJO16" s="123"/>
      <c r="AJP16" s="123"/>
      <c r="AJQ16" s="123"/>
      <c r="AJR16" s="123"/>
      <c r="AJS16" s="123"/>
      <c r="AJT16" s="123"/>
      <c r="AJU16" s="123"/>
      <c r="AJV16" s="123"/>
      <c r="AJW16" s="123"/>
      <c r="AJX16" s="123"/>
      <c r="AJY16" s="123"/>
      <c r="AJZ16" s="123"/>
      <c r="AKA16" s="123"/>
      <c r="AKB16" s="123"/>
      <c r="AKC16" s="123"/>
      <c r="AKD16" s="123"/>
      <c r="AKE16" s="123"/>
      <c r="AKF16" s="123"/>
      <c r="AKG16" s="123"/>
      <c r="AKH16" s="123"/>
      <c r="AKI16" s="123"/>
      <c r="AKJ16" s="123"/>
      <c r="AKK16" s="123"/>
      <c r="AKL16" s="123"/>
      <c r="AKM16" s="123"/>
      <c r="AKN16" s="123"/>
      <c r="AKO16" s="123"/>
      <c r="AKP16" s="123"/>
      <c r="AKQ16" s="123"/>
      <c r="AKR16" s="123"/>
      <c r="AKS16" s="123"/>
      <c r="AKT16" s="123"/>
      <c r="AKU16" s="123"/>
      <c r="AKV16" s="123"/>
      <c r="AKW16" s="123"/>
      <c r="AKX16" s="123"/>
      <c r="AKY16" s="123"/>
      <c r="AKZ16" s="123"/>
      <c r="ALA16" s="123"/>
      <c r="ALB16" s="123"/>
      <c r="ALC16" s="123"/>
      <c r="ALD16" s="123"/>
      <c r="ALE16" s="123"/>
    </row>
    <row r="17" spans="1:993" s="124" customFormat="1" ht="30" customHeight="1">
      <c r="A17" s="122"/>
      <c r="B17" s="122"/>
      <c r="C17" s="321" t="str">
        <f>IF(OsnPodaci!B58="","Unijeti interval izvještavanja.","(""Službene novine Federacije BiH"", br. 15/21), na dan "&amp;TEXT(OsnPodaci!B58,"dd.mm.yyyy.")&amp;" iskazalo sljedeće vrijednosti")</f>
        <v>("Službene novine Federacije BiH", br. 15/21), na dan 31.12.2022. iskazalo sljedeće vrijednosti</v>
      </c>
      <c r="D17" s="319"/>
      <c r="E17" s="319"/>
      <c r="F17" s="319"/>
      <c r="G17" s="123"/>
      <c r="H17" s="161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  <c r="AAA17" s="123"/>
      <c r="AAB17" s="123"/>
      <c r="AAC17" s="123"/>
      <c r="AAD17" s="123"/>
      <c r="AAE17" s="123"/>
      <c r="AAF17" s="123"/>
      <c r="AAG17" s="123"/>
      <c r="AAH17" s="123"/>
      <c r="AAI17" s="123"/>
      <c r="AAJ17" s="123"/>
      <c r="AAK17" s="123"/>
      <c r="AAL17" s="123"/>
      <c r="AAM17" s="123"/>
      <c r="AAN17" s="123"/>
      <c r="AAO17" s="123"/>
      <c r="AAP17" s="123"/>
      <c r="AAQ17" s="123"/>
      <c r="AAR17" s="123"/>
      <c r="AAS17" s="123"/>
      <c r="AAT17" s="123"/>
      <c r="AAU17" s="123"/>
      <c r="AAV17" s="123"/>
      <c r="AAW17" s="123"/>
      <c r="AAX17" s="123"/>
      <c r="AAY17" s="123"/>
      <c r="AAZ17" s="123"/>
      <c r="ABA17" s="123"/>
      <c r="ABB17" s="123"/>
      <c r="ABC17" s="123"/>
      <c r="ABD17" s="123"/>
      <c r="ABE17" s="123"/>
      <c r="ABF17" s="123"/>
      <c r="ABG17" s="123"/>
      <c r="ABH17" s="123"/>
      <c r="ABI17" s="123"/>
      <c r="ABJ17" s="123"/>
      <c r="ABK17" s="123"/>
      <c r="ABL17" s="123"/>
      <c r="ABM17" s="123"/>
      <c r="ABN17" s="123"/>
      <c r="ABO17" s="123"/>
      <c r="ABP17" s="123"/>
      <c r="ABQ17" s="123"/>
      <c r="ABR17" s="123"/>
      <c r="ABS17" s="123"/>
      <c r="ABT17" s="123"/>
      <c r="ABU17" s="123"/>
      <c r="ABV17" s="123"/>
      <c r="ABW17" s="123"/>
      <c r="ABX17" s="123"/>
      <c r="ABY17" s="123"/>
      <c r="ABZ17" s="123"/>
      <c r="ACA17" s="123"/>
      <c r="ACB17" s="123"/>
      <c r="ACC17" s="123"/>
      <c r="ACD17" s="123"/>
      <c r="ACE17" s="123"/>
      <c r="ACF17" s="123"/>
      <c r="ACG17" s="123"/>
      <c r="ACH17" s="123"/>
      <c r="ACI17" s="123"/>
      <c r="ACJ17" s="123"/>
      <c r="ACK17" s="123"/>
      <c r="ACL17" s="123"/>
      <c r="ACM17" s="123"/>
      <c r="ACN17" s="123"/>
      <c r="ACO17" s="123"/>
      <c r="ACP17" s="123"/>
      <c r="ACQ17" s="123"/>
      <c r="ACR17" s="123"/>
      <c r="ACS17" s="123"/>
      <c r="ACT17" s="123"/>
      <c r="ACU17" s="123"/>
      <c r="ACV17" s="123"/>
      <c r="ACW17" s="123"/>
      <c r="ACX17" s="123"/>
      <c r="ACY17" s="123"/>
      <c r="ACZ17" s="123"/>
      <c r="ADA17" s="123"/>
      <c r="ADB17" s="123"/>
      <c r="ADC17" s="123"/>
      <c r="ADD17" s="123"/>
      <c r="ADE17" s="123"/>
      <c r="ADF17" s="123"/>
      <c r="ADG17" s="123"/>
      <c r="ADH17" s="123"/>
      <c r="ADI17" s="123"/>
      <c r="ADJ17" s="123"/>
      <c r="ADK17" s="123"/>
      <c r="ADL17" s="123"/>
      <c r="ADM17" s="123"/>
      <c r="ADN17" s="123"/>
      <c r="ADO17" s="123"/>
      <c r="ADP17" s="123"/>
      <c r="ADQ17" s="123"/>
      <c r="ADR17" s="123"/>
      <c r="ADS17" s="123"/>
      <c r="ADT17" s="123"/>
      <c r="ADU17" s="123"/>
      <c r="ADV17" s="123"/>
      <c r="ADW17" s="123"/>
      <c r="ADX17" s="123"/>
      <c r="ADY17" s="123"/>
      <c r="ADZ17" s="123"/>
      <c r="AEA17" s="123"/>
      <c r="AEB17" s="123"/>
      <c r="AEC17" s="123"/>
      <c r="AED17" s="123"/>
      <c r="AEE17" s="123"/>
      <c r="AEF17" s="123"/>
      <c r="AEG17" s="123"/>
      <c r="AEH17" s="123"/>
      <c r="AEI17" s="123"/>
      <c r="AEJ17" s="123"/>
      <c r="AEK17" s="123"/>
      <c r="AEL17" s="123"/>
      <c r="AEM17" s="123"/>
      <c r="AEN17" s="123"/>
      <c r="AEO17" s="123"/>
      <c r="AEP17" s="123"/>
      <c r="AEQ17" s="123"/>
      <c r="AER17" s="123"/>
      <c r="AES17" s="123"/>
      <c r="AET17" s="123"/>
      <c r="AEU17" s="123"/>
      <c r="AEV17" s="123"/>
      <c r="AEW17" s="123"/>
      <c r="AEX17" s="123"/>
      <c r="AEY17" s="123"/>
      <c r="AEZ17" s="123"/>
      <c r="AFA17" s="123"/>
      <c r="AFB17" s="123"/>
      <c r="AFC17" s="123"/>
      <c r="AFD17" s="123"/>
      <c r="AFE17" s="123"/>
      <c r="AFF17" s="123"/>
      <c r="AFG17" s="123"/>
      <c r="AFH17" s="123"/>
      <c r="AFI17" s="123"/>
      <c r="AFJ17" s="123"/>
      <c r="AFK17" s="123"/>
      <c r="AFL17" s="123"/>
      <c r="AFM17" s="123"/>
      <c r="AFN17" s="123"/>
      <c r="AFO17" s="123"/>
      <c r="AFP17" s="123"/>
      <c r="AFQ17" s="123"/>
      <c r="AFR17" s="123"/>
      <c r="AFS17" s="123"/>
      <c r="AFT17" s="123"/>
      <c r="AFU17" s="123"/>
      <c r="AFV17" s="123"/>
      <c r="AFW17" s="123"/>
      <c r="AFX17" s="123"/>
      <c r="AFY17" s="123"/>
      <c r="AFZ17" s="123"/>
      <c r="AGA17" s="123"/>
      <c r="AGB17" s="123"/>
      <c r="AGC17" s="123"/>
      <c r="AGD17" s="123"/>
      <c r="AGE17" s="123"/>
      <c r="AGF17" s="123"/>
      <c r="AGG17" s="123"/>
      <c r="AGH17" s="123"/>
      <c r="AGI17" s="123"/>
      <c r="AGJ17" s="123"/>
      <c r="AGK17" s="123"/>
      <c r="AGL17" s="123"/>
      <c r="AGM17" s="123"/>
      <c r="AGN17" s="123"/>
      <c r="AGO17" s="123"/>
      <c r="AGP17" s="123"/>
      <c r="AGQ17" s="123"/>
      <c r="AGR17" s="123"/>
      <c r="AGS17" s="123"/>
      <c r="AGT17" s="123"/>
      <c r="AGU17" s="123"/>
      <c r="AGV17" s="123"/>
      <c r="AGW17" s="123"/>
      <c r="AGX17" s="123"/>
      <c r="AGY17" s="123"/>
      <c r="AGZ17" s="123"/>
      <c r="AHA17" s="123"/>
      <c r="AHB17" s="123"/>
      <c r="AHC17" s="123"/>
      <c r="AHD17" s="123"/>
      <c r="AHE17" s="123"/>
      <c r="AHF17" s="123"/>
      <c r="AHG17" s="123"/>
      <c r="AHH17" s="123"/>
      <c r="AHI17" s="123"/>
      <c r="AHJ17" s="123"/>
      <c r="AHK17" s="123"/>
      <c r="AHL17" s="123"/>
      <c r="AHM17" s="123"/>
      <c r="AHN17" s="123"/>
      <c r="AHO17" s="123"/>
      <c r="AHP17" s="123"/>
      <c r="AHQ17" s="123"/>
      <c r="AHR17" s="123"/>
      <c r="AHS17" s="123"/>
      <c r="AHT17" s="123"/>
      <c r="AHU17" s="123"/>
      <c r="AHV17" s="123"/>
      <c r="AHW17" s="123"/>
      <c r="AHX17" s="123"/>
      <c r="AHY17" s="123"/>
      <c r="AHZ17" s="123"/>
      <c r="AIA17" s="123"/>
      <c r="AIB17" s="123"/>
      <c r="AIC17" s="123"/>
      <c r="AID17" s="123"/>
      <c r="AIE17" s="123"/>
      <c r="AIF17" s="123"/>
      <c r="AIG17" s="123"/>
      <c r="AIH17" s="123"/>
      <c r="AII17" s="123"/>
      <c r="AIJ17" s="123"/>
      <c r="AIK17" s="123"/>
      <c r="AIL17" s="123"/>
      <c r="AIM17" s="123"/>
      <c r="AIN17" s="123"/>
      <c r="AIO17" s="123"/>
      <c r="AIP17" s="123"/>
      <c r="AIQ17" s="123"/>
      <c r="AIR17" s="123"/>
      <c r="AIS17" s="123"/>
      <c r="AIT17" s="123"/>
      <c r="AIU17" s="123"/>
      <c r="AIV17" s="123"/>
      <c r="AIW17" s="123"/>
      <c r="AIX17" s="123"/>
      <c r="AIY17" s="123"/>
      <c r="AIZ17" s="123"/>
      <c r="AJA17" s="123"/>
      <c r="AJB17" s="123"/>
      <c r="AJC17" s="123"/>
      <c r="AJD17" s="123"/>
      <c r="AJE17" s="123"/>
      <c r="AJF17" s="123"/>
      <c r="AJG17" s="123"/>
      <c r="AJH17" s="123"/>
      <c r="AJI17" s="123"/>
      <c r="AJJ17" s="123"/>
      <c r="AJK17" s="123"/>
      <c r="AJL17" s="123"/>
      <c r="AJM17" s="123"/>
      <c r="AJN17" s="123"/>
      <c r="AJO17" s="123"/>
      <c r="AJP17" s="123"/>
      <c r="AJQ17" s="123"/>
      <c r="AJR17" s="123"/>
      <c r="AJS17" s="123"/>
      <c r="AJT17" s="123"/>
      <c r="AJU17" s="123"/>
      <c r="AJV17" s="123"/>
      <c r="AJW17" s="123"/>
      <c r="AJX17" s="123"/>
      <c r="AJY17" s="123"/>
      <c r="AJZ17" s="123"/>
      <c r="AKA17" s="123"/>
      <c r="AKB17" s="123"/>
      <c r="AKC17" s="123"/>
      <c r="AKD17" s="123"/>
      <c r="AKE17" s="123"/>
      <c r="AKF17" s="123"/>
      <c r="AKG17" s="123"/>
      <c r="AKH17" s="123"/>
      <c r="AKI17" s="123"/>
      <c r="AKJ17" s="123"/>
      <c r="AKK17" s="123"/>
      <c r="AKL17" s="123"/>
      <c r="AKM17" s="123"/>
      <c r="AKN17" s="123"/>
      <c r="AKO17" s="123"/>
      <c r="AKP17" s="123"/>
      <c r="AKQ17" s="123"/>
      <c r="AKR17" s="123"/>
      <c r="AKS17" s="123"/>
      <c r="AKT17" s="123"/>
      <c r="AKU17" s="123"/>
      <c r="AKV17" s="123"/>
      <c r="AKW17" s="123"/>
      <c r="AKX17" s="123"/>
      <c r="AKY17" s="123"/>
      <c r="AKZ17" s="123"/>
      <c r="ALA17" s="123"/>
      <c r="ALB17" s="123"/>
      <c r="ALC17" s="123"/>
      <c r="ALD17" s="123"/>
      <c r="ALE17" s="123"/>
    </row>
    <row r="18" spans="1:993" ht="30" customHeight="1">
      <c r="C18" s="319"/>
      <c r="D18" s="319"/>
      <c r="E18" s="319"/>
      <c r="F18" s="319"/>
    </row>
    <row r="19" spans="1:993" ht="30" customHeight="1">
      <c r="A19" s="117">
        <v>0.01</v>
      </c>
      <c r="B19" s="125">
        <f>IF(LEN(F19)=0,"",1+ABS((LEFT(F19,2)&amp;RIGHT(F19,2)*A19)/LEN(LEFT(F19,2)&amp;RIGHT(F19,2)))+A19)</f>
        <v>161.08499999999998</v>
      </c>
      <c r="C19" s="782" t="s">
        <v>2683</v>
      </c>
      <c r="D19" s="321"/>
      <c r="E19" s="321"/>
      <c r="F19" s="783" t="str">
        <f>IF(OsnPodaci!A19="","",OsnPodaci!A19)</f>
        <v>64.30</v>
      </c>
    </row>
    <row r="20" spans="1:993" s="126" customFormat="1" ht="30" customHeight="1">
      <c r="A20" s="117">
        <v>0.02</v>
      </c>
      <c r="B20" s="125">
        <f>IF(LEN(F20)=0,"",1+ABS((F20*A20)/LEN(F20))+A20)</f>
        <v>16263.522857142858</v>
      </c>
      <c r="C20" s="782" t="str">
        <f>IF(OsnPodaci!B58="","Unijeti interval izvještavanja.","•   ukupan prihod za "&amp;TEXT(OsnPodaci!B58,"dd.mm.yyyy.")&amp;" godine")</f>
        <v>•   ukupan prihod za 31.12.2022. godine</v>
      </c>
      <c r="D20" s="326"/>
      <c r="E20" s="326"/>
      <c r="F20" s="784">
        <v>5691876</v>
      </c>
      <c r="G20" s="115"/>
      <c r="H20" s="115"/>
    </row>
    <row r="21" spans="1:993" s="126" customFormat="1" ht="30" customHeight="1">
      <c r="A21" s="117">
        <v>0.03</v>
      </c>
      <c r="B21" s="125">
        <f>IF(LEN(F21)=0,"",1+ABS((F21*A21)/LEN(F21))+A21)</f>
        <v>102709.36</v>
      </c>
      <c r="C21" s="782" t="s">
        <v>2684</v>
      </c>
      <c r="D21" s="326"/>
      <c r="E21" s="326"/>
      <c r="F21" s="784">
        <v>27388888</v>
      </c>
      <c r="G21" s="115"/>
      <c r="H21" s="115"/>
    </row>
    <row r="22" spans="1:993" s="126" customFormat="1" ht="30" customHeight="1">
      <c r="A22" s="117">
        <v>0.04</v>
      </c>
      <c r="B22" s="125">
        <f>IF(LEN(F22)=0,"",1+ABS((F22*A22)/LEN(F22))+A22)</f>
        <v>1.08</v>
      </c>
      <c r="C22" s="782" t="s">
        <v>2685</v>
      </c>
      <c r="D22" s="326"/>
      <c r="E22" s="326"/>
      <c r="F22" s="784">
        <v>1</v>
      </c>
      <c r="G22" s="127"/>
      <c r="H22" s="127"/>
    </row>
    <row r="23" spans="1:993">
      <c r="B23" s="125"/>
      <c r="C23" s="321"/>
      <c r="D23" s="321"/>
      <c r="E23" s="321"/>
      <c r="F23" s="321"/>
      <c r="G23" s="327"/>
      <c r="H23" s="127"/>
    </row>
    <row r="24" spans="1:993" ht="25.5" customHeight="1">
      <c r="A24" s="117">
        <v>0.06</v>
      </c>
      <c r="B24" s="125"/>
      <c r="C24" s="785" t="s">
        <v>2686</v>
      </c>
      <c r="D24" s="321"/>
      <c r="E24" s="321"/>
      <c r="F24" s="895" t="s">
        <v>104</v>
      </c>
      <c r="G24" s="329"/>
      <c r="H24" s="128"/>
    </row>
    <row r="25" spans="1:993" ht="22.5" customHeight="1">
      <c r="B25" s="110">
        <f>IF(ISERROR(ABS(LOG(ABS(SUM(B19:B24)),EXP(3)))),"",ABS(LOG(ABS(SUM(B19:B24)),EXP(3))))</f>
        <v>3.8960043281912724</v>
      </c>
      <c r="C25" s="330"/>
      <c r="D25" s="321"/>
      <c r="E25" s="321"/>
      <c r="F25" s="331"/>
      <c r="G25" s="329"/>
      <c r="H25" s="128"/>
    </row>
    <row r="26" spans="1:993" ht="22.5" customHeight="1">
      <c r="B26" s="112" t="str">
        <f>IF(ISERROR(IF(ISERROR(MID(B25,FIND(".",B25,1)+6,13)),MID(B25,FIND(",",B25,1)+6,13),MID(B25,FIND(".",B25,1)+6,13))),"",IF(ISERROR(MID(B25,FIND(".",B25,1)+6,13)),MID(B25,FIND(",",B25,1)+6,13),MID(B25,FIND(".",B25,1)+6,13)))</f>
        <v>432819127</v>
      </c>
      <c r="C26" s="319"/>
      <c r="D26" s="319"/>
      <c r="E26" s="319"/>
      <c r="F26" s="319"/>
      <c r="G26" s="332"/>
      <c r="H26" s="3"/>
    </row>
    <row r="27" spans="1:993" s="115" customFormat="1" ht="22.5" customHeight="1">
      <c r="A27" s="129"/>
      <c r="B27" s="129"/>
      <c r="C27" s="332"/>
      <c r="D27" s="328"/>
      <c r="E27" s="328"/>
      <c r="F27" s="328"/>
      <c r="G27" s="332"/>
    </row>
    <row r="28" spans="1:993" s="115" customFormat="1" ht="22.5" customHeight="1">
      <c r="A28" s="129"/>
      <c r="B28" s="129"/>
      <c r="C28" s="332"/>
      <c r="D28" s="332"/>
      <c r="E28" s="333"/>
      <c r="F28" s="332"/>
      <c r="G28" s="332"/>
    </row>
    <row r="29" spans="1:993" s="115" customFormat="1" ht="22.5" customHeight="1">
      <c r="A29" s="129"/>
      <c r="B29" s="129"/>
      <c r="C29" s="332"/>
      <c r="D29" s="332"/>
      <c r="E29" s="332"/>
      <c r="F29" s="332"/>
      <c r="G29" s="332"/>
    </row>
    <row r="30" spans="1:993" ht="22.5" customHeight="1">
      <c r="C30" s="321"/>
      <c r="D30" s="321"/>
      <c r="E30" s="321"/>
      <c r="F30" s="321"/>
      <c r="G30" s="332"/>
      <c r="H30" s="3"/>
    </row>
    <row r="31" spans="1:993" ht="20.25">
      <c r="C31" s="334" t="str">
        <f>IF(OsnPodaci!D58="","",TEXT(OsnPodaci!D58,"dd.mm.yyyy."))</f>
        <v>28.02.2023.</v>
      </c>
      <c r="D31" s="334"/>
      <c r="E31" s="321"/>
      <c r="F31" s="335" t="str">
        <f>CONCATENATE(OsnPodaci!$A$31," ",OsnPodaci!$B$31,)</f>
        <v>Dženan Prevljak</v>
      </c>
      <c r="G31" s="335"/>
      <c r="H31" s="3"/>
    </row>
    <row r="32" spans="1:993" ht="24" customHeight="1">
      <c r="C32" s="786" t="s">
        <v>2614</v>
      </c>
      <c r="E32" s="321"/>
      <c r="F32" s="787" t="s">
        <v>1951</v>
      </c>
      <c r="G32" s="336"/>
      <c r="H32" s="3"/>
    </row>
    <row r="33" spans="1:8" ht="57.75" customHeight="1">
      <c r="C33" s="321"/>
      <c r="D33" s="788" t="s">
        <v>2687</v>
      </c>
      <c r="E33" s="321"/>
      <c r="F33" s="321"/>
      <c r="G33" s="332"/>
      <c r="H33" s="3"/>
    </row>
    <row r="34" spans="1:8" ht="57.75" customHeight="1">
      <c r="C34" s="321"/>
      <c r="D34" s="321"/>
      <c r="E34" s="321"/>
      <c r="F34" s="321"/>
      <c r="G34" s="332"/>
      <c r="H34" s="3"/>
    </row>
    <row r="36" spans="1:8">
      <c r="C36" s="321"/>
      <c r="D36" s="321"/>
      <c r="E36" s="321"/>
      <c r="F36" s="321"/>
      <c r="G36" s="321"/>
      <c r="H36" s="116"/>
    </row>
    <row r="37" spans="1:8" s="131" customFormat="1" ht="19.5" customHeight="1">
      <c r="A37" s="130"/>
      <c r="B37" s="130"/>
      <c r="C37" s="789" t="str">
        <f>IF(B26="","Obrazac prazan - unesite podatke na barem jednu poziciju.","Kontrolni broj: "&amp;MID(H1,2,LEN(H1)-2))</f>
        <v>Kontrolni broj: 34432819127</v>
      </c>
      <c r="D37" s="337"/>
      <c r="E37" s="337"/>
      <c r="F37" s="790" t="s">
        <v>2383</v>
      </c>
      <c r="G37" s="337"/>
    </row>
  </sheetData>
  <sheetProtection sheet="1" objects="1" scenarios="1"/>
  <mergeCells count="4">
    <mergeCell ref="C1:F1"/>
    <mergeCell ref="H1:H17"/>
    <mergeCell ref="C10:F10"/>
    <mergeCell ref="C15:F15"/>
  </mergeCells>
  <conditionalFormatting sqref="F20:F22">
    <cfRule type="containsBlanks" dxfId="8" priority="4">
      <formula>LEN(TRIM(F20))=0</formula>
    </cfRule>
  </conditionalFormatting>
  <conditionalFormatting sqref="C37">
    <cfRule type="containsText" dxfId="7" priority="2" operator="containsText" text="Obrazac prazan">
      <formula>NOT(ISERROR(SEARCH("Obrazac prazan",C37)))</formula>
    </cfRule>
  </conditionalFormatting>
  <dataValidations count="2">
    <dataValidation type="decimal" operator="greaterThanOrEqual" allowBlank="1" showInputMessage="1" showErrorMessage="1" sqref="F23" xr:uid="{00000000-0002-0000-0D00-000000000000}">
      <formula1>0</formula1>
    </dataValidation>
    <dataValidation type="whole" operator="greaterThanOrEqual" allowBlank="1" showInputMessage="1" showErrorMessage="1" sqref="F20:F22" xr:uid="{00000000-0002-0000-0D00-000001000000}">
      <formula1>0</formula1>
    </dataValidation>
  </dataValidations>
  <pageMargins left="0.78740157480314965" right="0.27559055118110237" top="0.11811023622047245" bottom="7.874015748031496E-2" header="0" footer="0"/>
  <pageSetup paperSize="9" scale="80" firstPageNumber="0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66B628-EE14-490F-85CA-6A936EC70E28}">
            <xm:f>OR(LEFT(OsnPodaci!$A$55,5)="Reviz",LEFT(OsnPodaci!$A$55,6)="Izjava")</xm:f>
            <x14:dxf>
              <font>
                <color theme="0"/>
              </font>
            </x14:dxf>
          </x14:cfRule>
          <xm:sqref>C37</xm:sqref>
        </x14:conditionalFormatting>
        <x14:conditionalFormatting xmlns:xm="http://schemas.microsoft.com/office/excel/2006/main">
          <x14:cfRule type="expression" priority="3" id="{6AA1A244-F67E-4F7D-8EEE-3898BCC94709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C1:F3 H1 C6:F31 C32 E32:F32 C33:F34 C37:F37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theme="7" tint="-0.499984740745262"/>
  </sheetPr>
  <dimension ref="A1:ALE29"/>
  <sheetViews>
    <sheetView showGridLines="0" view="pageLayout" topLeftCell="C16" zoomScale="70" zoomScaleNormal="85" zoomScaleSheetLayoutView="25" zoomScalePageLayoutView="70" workbookViewId="0">
      <selection activeCell="F9" sqref="F9"/>
    </sheetView>
  </sheetViews>
  <sheetFormatPr defaultColWidth="3.140625" defaultRowHeight="18"/>
  <cols>
    <col min="1" max="1" width="5.28515625" style="117" hidden="1" customWidth="1"/>
    <col min="2" max="2" width="13" style="117" hidden="1" customWidth="1"/>
    <col min="3" max="3" width="24.42578125" style="116" customWidth="1"/>
    <col min="4" max="4" width="22.28515625" style="116" customWidth="1"/>
    <col min="5" max="5" width="21.7109375" style="116" customWidth="1"/>
    <col min="6" max="6" width="40.7109375" style="116" customWidth="1"/>
    <col min="7" max="7" width="1.28515625" style="115" customWidth="1"/>
    <col min="8" max="8" width="4.85546875" style="115" customWidth="1"/>
    <col min="9" max="9" width="3.85546875" style="116" bestFit="1" customWidth="1"/>
    <col min="10" max="993" width="3.140625" style="116" customWidth="1"/>
    <col min="994" max="994" width="3.140625" style="3" customWidth="1"/>
    <col min="995" max="16384" width="3.140625" style="3"/>
  </cols>
  <sheetData>
    <row r="1" spans="1:993" s="133" customFormat="1" ht="23.25">
      <c r="A1" s="132"/>
      <c r="B1" s="132"/>
      <c r="C1" s="1617" t="str">
        <f>IF(OsnPodaci!$B$4="","",OsnPodaci!$B$4)</f>
        <v>ZIF " prevent INVEST " d.d.</v>
      </c>
      <c r="D1" s="1617"/>
      <c r="E1" s="1617"/>
      <c r="F1" s="1617"/>
      <c r="H1" s="1613" t="str">
        <f>"*"&amp;'#Konverter'!AD27&amp;B20&amp;"*"</f>
        <v>*353334305598*</v>
      </c>
    </row>
    <row r="2" spans="1:993" s="133" customFormat="1" ht="26.25" customHeight="1">
      <c r="A2" s="132"/>
      <c r="B2" s="132"/>
      <c r="C2" s="318" t="str">
        <f>IF(OR(OsnPodaci!A10="",OsnPodaci!A13=""),"",OsnPodaci!A10 &amp; ", " &amp; OsnPodaci!A13)</f>
        <v>Sarajevo-Novi Grad, Bulevar Meše Selimovića 16</v>
      </c>
      <c r="D2" s="319"/>
      <c r="E2" s="319"/>
      <c r="F2" s="319"/>
      <c r="H2" s="1613"/>
    </row>
    <row r="3" spans="1:993" s="133" customFormat="1" ht="26.25" customHeight="1">
      <c r="A3" s="132"/>
      <c r="B3" s="132"/>
      <c r="C3" s="318" t="str">
        <f>CONCATENATE("JIB: ",OsnPodaci!$A$4)</f>
        <v>JIB: 4200191740002</v>
      </c>
      <c r="D3" s="319"/>
      <c r="E3" s="319"/>
      <c r="F3" s="319"/>
      <c r="H3" s="1613"/>
    </row>
    <row r="4" spans="1:993" s="116" customFormat="1" ht="20.25" customHeight="1">
      <c r="A4" s="114"/>
      <c r="B4" s="114"/>
      <c r="C4" s="32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4" s="319"/>
      <c r="E4" s="319"/>
      <c r="F4" s="319"/>
      <c r="G4" s="115"/>
      <c r="H4" s="1613"/>
    </row>
    <row r="5" spans="1:993" ht="20.25">
      <c r="C5" s="319"/>
      <c r="D5" s="319"/>
      <c r="E5" s="319"/>
      <c r="F5" s="319"/>
      <c r="H5" s="1613"/>
    </row>
    <row r="6" spans="1:993" ht="20.25">
      <c r="C6" s="319"/>
      <c r="D6" s="319"/>
      <c r="E6" s="319"/>
      <c r="F6" s="322" t="s">
        <v>2679</v>
      </c>
      <c r="G6" s="118"/>
      <c r="H6" s="1613"/>
    </row>
    <row r="7" spans="1:993" ht="23.25" customHeight="1">
      <c r="C7" s="338"/>
      <c r="D7" s="319"/>
      <c r="E7" s="319"/>
      <c r="F7" s="322" t="s">
        <v>2680</v>
      </c>
      <c r="G7" s="118"/>
      <c r="H7" s="1613"/>
    </row>
    <row r="8" spans="1:993">
      <c r="C8" s="321"/>
      <c r="D8" s="321"/>
      <c r="E8" s="321"/>
      <c r="F8" s="321"/>
      <c r="H8" s="1613"/>
    </row>
    <row r="9" spans="1:993" ht="46.5" customHeight="1">
      <c r="C9" s="321"/>
      <c r="D9" s="321"/>
      <c r="E9" s="321"/>
      <c r="F9" s="321"/>
      <c r="H9" s="1613"/>
    </row>
    <row r="10" spans="1:993" ht="22.5">
      <c r="C10" s="1614" t="s">
        <v>2688</v>
      </c>
      <c r="D10" s="1614"/>
      <c r="E10" s="1614"/>
      <c r="F10" s="1614"/>
      <c r="H10" s="1613"/>
    </row>
    <row r="11" spans="1:993" s="135" customFormat="1" ht="39" customHeight="1">
      <c r="A11" s="134"/>
      <c r="B11" s="134"/>
      <c r="C11" s="339"/>
      <c r="D11" s="339"/>
      <c r="E11" s="339"/>
      <c r="F11" s="339"/>
      <c r="G11" s="133"/>
      <c r="H11" s="161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</row>
    <row r="12" spans="1:993" s="135" customFormat="1" ht="73.5" customHeight="1">
      <c r="A12" s="134"/>
      <c r="B12" s="134"/>
      <c r="C12" s="340" t="s">
        <v>2689</v>
      </c>
      <c r="D12" s="1618" t="str">
        <f>IF(OsnPodaci!B4="","",OsnPodaci!B4)</f>
        <v>ZIF " prevent INVEST " d.d.</v>
      </c>
      <c r="E12" s="1618"/>
      <c r="F12" s="1618"/>
      <c r="G12" s="136"/>
      <c r="H12" s="161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</row>
    <row r="13" spans="1:993" s="135" customFormat="1" ht="23.25">
      <c r="A13" s="134"/>
      <c r="B13" s="134"/>
      <c r="C13" s="341" t="str">
        <f>"JIB: "&amp;OsnPodaci!A4</f>
        <v>JIB: 4200191740002</v>
      </c>
      <c r="D13" s="341"/>
      <c r="E13" s="319"/>
      <c r="F13" s="341"/>
      <c r="G13" s="137"/>
      <c r="H13" s="161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  <c r="NS13" s="133"/>
      <c r="NT13" s="133"/>
      <c r="NU13" s="133"/>
      <c r="NV13" s="133"/>
      <c r="NW13" s="133"/>
      <c r="NX13" s="133"/>
      <c r="NY13" s="133"/>
      <c r="NZ13" s="133"/>
      <c r="OA13" s="133"/>
      <c r="OB13" s="133"/>
      <c r="OC13" s="133"/>
      <c r="OD13" s="133"/>
      <c r="OE13" s="133"/>
      <c r="OF13" s="133"/>
      <c r="OG13" s="133"/>
      <c r="OH13" s="133"/>
      <c r="OI13" s="133"/>
      <c r="OJ13" s="133"/>
      <c r="OK13" s="133"/>
      <c r="OL13" s="133"/>
      <c r="OM13" s="133"/>
      <c r="ON13" s="133"/>
      <c r="OO13" s="133"/>
      <c r="OP13" s="133"/>
      <c r="OQ13" s="133"/>
      <c r="OR13" s="133"/>
      <c r="OS13" s="133"/>
      <c r="OT13" s="133"/>
      <c r="OU13" s="133"/>
      <c r="OV13" s="133"/>
      <c r="OW13" s="133"/>
      <c r="OX13" s="133"/>
      <c r="OY13" s="133"/>
      <c r="OZ13" s="133"/>
      <c r="PA13" s="133"/>
      <c r="PB13" s="133"/>
      <c r="PC13" s="133"/>
      <c r="PD13" s="133"/>
      <c r="PE13" s="133"/>
      <c r="PF13" s="133"/>
      <c r="PG13" s="133"/>
      <c r="PH13" s="133"/>
      <c r="PI13" s="133"/>
      <c r="PJ13" s="133"/>
      <c r="PK13" s="133"/>
      <c r="PL13" s="133"/>
      <c r="PM13" s="133"/>
      <c r="PN13" s="133"/>
      <c r="PO13" s="133"/>
      <c r="PP13" s="133"/>
      <c r="PQ13" s="133"/>
      <c r="PR13" s="133"/>
      <c r="PS13" s="133"/>
      <c r="PT13" s="133"/>
      <c r="PU13" s="133"/>
      <c r="PV13" s="133"/>
      <c r="PW13" s="133"/>
      <c r="PX13" s="133"/>
      <c r="PY13" s="133"/>
      <c r="PZ13" s="133"/>
      <c r="QA13" s="133"/>
      <c r="QB13" s="133"/>
      <c r="QC13" s="133"/>
      <c r="QD13" s="133"/>
      <c r="QE13" s="133"/>
      <c r="QF13" s="133"/>
      <c r="QG13" s="133"/>
      <c r="QH13" s="133"/>
      <c r="QI13" s="133"/>
      <c r="QJ13" s="133"/>
      <c r="QK13" s="133"/>
      <c r="QL13" s="133"/>
      <c r="QM13" s="133"/>
      <c r="QN13" s="133"/>
      <c r="QO13" s="133"/>
      <c r="QP13" s="133"/>
      <c r="QQ13" s="133"/>
      <c r="QR13" s="133"/>
      <c r="QS13" s="133"/>
      <c r="QT13" s="133"/>
      <c r="QU13" s="133"/>
      <c r="QV13" s="133"/>
      <c r="QW13" s="133"/>
      <c r="QX13" s="133"/>
      <c r="QY13" s="133"/>
      <c r="QZ13" s="133"/>
      <c r="RA13" s="133"/>
      <c r="RB13" s="133"/>
      <c r="RC13" s="133"/>
      <c r="RD13" s="133"/>
      <c r="RE13" s="133"/>
      <c r="RF13" s="133"/>
      <c r="RG13" s="133"/>
      <c r="RH13" s="133"/>
      <c r="RI13" s="133"/>
      <c r="RJ13" s="133"/>
      <c r="RK13" s="133"/>
      <c r="RL13" s="133"/>
      <c r="RM13" s="133"/>
      <c r="RN13" s="133"/>
      <c r="RO13" s="133"/>
      <c r="RP13" s="133"/>
      <c r="RQ13" s="133"/>
      <c r="RR13" s="133"/>
      <c r="RS13" s="133"/>
      <c r="RT13" s="133"/>
      <c r="RU13" s="133"/>
      <c r="RV13" s="133"/>
      <c r="RW13" s="133"/>
      <c r="RX13" s="133"/>
      <c r="RY13" s="133"/>
      <c r="RZ13" s="133"/>
      <c r="SA13" s="133"/>
      <c r="SB13" s="133"/>
      <c r="SC13" s="133"/>
      <c r="SD13" s="133"/>
      <c r="SE13" s="133"/>
      <c r="SF13" s="133"/>
      <c r="SG13" s="133"/>
      <c r="SH13" s="133"/>
      <c r="SI13" s="133"/>
      <c r="SJ13" s="133"/>
      <c r="SK13" s="133"/>
      <c r="SL13" s="133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  <c r="TB13" s="133"/>
      <c r="TC13" s="133"/>
      <c r="TD13" s="133"/>
      <c r="TE13" s="133"/>
      <c r="TF13" s="133"/>
      <c r="TG13" s="133"/>
      <c r="TH13" s="133"/>
      <c r="TI13" s="133"/>
      <c r="TJ13" s="133"/>
      <c r="TK13" s="133"/>
      <c r="TL13" s="133"/>
      <c r="TM13" s="133"/>
      <c r="TN13" s="133"/>
      <c r="TO13" s="133"/>
      <c r="TP13" s="133"/>
      <c r="TQ13" s="133"/>
      <c r="TR13" s="133"/>
      <c r="TS13" s="133"/>
      <c r="TT13" s="133"/>
      <c r="TU13" s="133"/>
      <c r="TV13" s="133"/>
      <c r="TW13" s="133"/>
      <c r="TX13" s="133"/>
      <c r="TY13" s="133"/>
      <c r="TZ13" s="133"/>
      <c r="UA13" s="133"/>
      <c r="UB13" s="133"/>
      <c r="UC13" s="133"/>
      <c r="UD13" s="133"/>
      <c r="UE13" s="133"/>
      <c r="UF13" s="133"/>
      <c r="UG13" s="133"/>
      <c r="UH13" s="133"/>
      <c r="UI13" s="133"/>
      <c r="UJ13" s="133"/>
      <c r="UK13" s="133"/>
      <c r="UL13" s="133"/>
      <c r="UM13" s="133"/>
      <c r="UN13" s="133"/>
      <c r="UO13" s="133"/>
      <c r="UP13" s="133"/>
      <c r="UQ13" s="133"/>
      <c r="UR13" s="133"/>
      <c r="US13" s="133"/>
      <c r="UT13" s="133"/>
      <c r="UU13" s="133"/>
      <c r="UV13" s="133"/>
      <c r="UW13" s="133"/>
      <c r="UX13" s="133"/>
      <c r="UY13" s="133"/>
      <c r="UZ13" s="133"/>
      <c r="VA13" s="133"/>
      <c r="VB13" s="133"/>
      <c r="VC13" s="133"/>
      <c r="VD13" s="133"/>
      <c r="VE13" s="133"/>
      <c r="VF13" s="133"/>
      <c r="VG13" s="133"/>
      <c r="VH13" s="133"/>
      <c r="VI13" s="133"/>
      <c r="VJ13" s="133"/>
      <c r="VK13" s="133"/>
      <c r="VL13" s="133"/>
      <c r="VM13" s="133"/>
      <c r="VN13" s="133"/>
      <c r="VO13" s="133"/>
      <c r="VP13" s="133"/>
      <c r="VQ13" s="133"/>
      <c r="VR13" s="133"/>
      <c r="VS13" s="133"/>
      <c r="VT13" s="133"/>
      <c r="VU13" s="133"/>
      <c r="VV13" s="133"/>
      <c r="VW13" s="133"/>
      <c r="VX13" s="133"/>
      <c r="VY13" s="133"/>
      <c r="VZ13" s="133"/>
      <c r="WA13" s="133"/>
      <c r="WB13" s="133"/>
      <c r="WC13" s="133"/>
      <c r="WD13" s="133"/>
      <c r="WE13" s="133"/>
      <c r="WF13" s="133"/>
      <c r="WG13" s="133"/>
      <c r="WH13" s="133"/>
      <c r="WI13" s="133"/>
      <c r="WJ13" s="133"/>
      <c r="WK13" s="133"/>
      <c r="WL13" s="133"/>
      <c r="WM13" s="133"/>
      <c r="WN13" s="133"/>
      <c r="WO13" s="133"/>
      <c r="WP13" s="133"/>
      <c r="WQ13" s="133"/>
      <c r="WR13" s="133"/>
      <c r="WS13" s="133"/>
      <c r="WT13" s="133"/>
      <c r="WU13" s="133"/>
      <c r="WV13" s="133"/>
      <c r="WW13" s="133"/>
      <c r="WX13" s="133"/>
      <c r="WY13" s="133"/>
      <c r="WZ13" s="133"/>
      <c r="XA13" s="133"/>
      <c r="XB13" s="133"/>
      <c r="XC13" s="133"/>
      <c r="XD13" s="133"/>
      <c r="XE13" s="133"/>
      <c r="XF13" s="133"/>
      <c r="XG13" s="133"/>
      <c r="XH13" s="133"/>
      <c r="XI13" s="133"/>
      <c r="XJ13" s="133"/>
      <c r="XK13" s="133"/>
      <c r="XL13" s="133"/>
      <c r="XM13" s="133"/>
      <c r="XN13" s="133"/>
      <c r="XO13" s="133"/>
      <c r="XP13" s="133"/>
      <c r="XQ13" s="133"/>
      <c r="XR13" s="133"/>
      <c r="XS13" s="133"/>
      <c r="XT13" s="133"/>
      <c r="XU13" s="133"/>
      <c r="XV13" s="133"/>
      <c r="XW13" s="133"/>
      <c r="XX13" s="133"/>
      <c r="XY13" s="133"/>
      <c r="XZ13" s="133"/>
      <c r="YA13" s="133"/>
      <c r="YB13" s="133"/>
      <c r="YC13" s="133"/>
      <c r="YD13" s="133"/>
      <c r="YE13" s="133"/>
      <c r="YF13" s="133"/>
      <c r="YG13" s="133"/>
      <c r="YH13" s="133"/>
      <c r="YI13" s="133"/>
      <c r="YJ13" s="133"/>
      <c r="YK13" s="133"/>
      <c r="YL13" s="133"/>
      <c r="YM13" s="133"/>
      <c r="YN13" s="133"/>
      <c r="YO13" s="133"/>
      <c r="YP13" s="133"/>
      <c r="YQ13" s="133"/>
      <c r="YR13" s="133"/>
      <c r="YS13" s="133"/>
      <c r="YT13" s="133"/>
      <c r="YU13" s="133"/>
      <c r="YV13" s="133"/>
      <c r="YW13" s="133"/>
      <c r="YX13" s="133"/>
      <c r="YY13" s="133"/>
      <c r="YZ13" s="133"/>
      <c r="ZA13" s="133"/>
      <c r="ZB13" s="133"/>
      <c r="ZC13" s="133"/>
      <c r="ZD13" s="133"/>
      <c r="ZE13" s="133"/>
      <c r="ZF13" s="133"/>
      <c r="ZG13" s="133"/>
      <c r="ZH13" s="133"/>
      <c r="ZI13" s="133"/>
      <c r="ZJ13" s="133"/>
      <c r="ZK13" s="133"/>
      <c r="ZL13" s="133"/>
      <c r="ZM13" s="133"/>
      <c r="ZN13" s="133"/>
      <c r="ZO13" s="133"/>
      <c r="ZP13" s="133"/>
      <c r="ZQ13" s="133"/>
      <c r="ZR13" s="133"/>
      <c r="ZS13" s="133"/>
      <c r="ZT13" s="133"/>
      <c r="ZU13" s="133"/>
      <c r="ZV13" s="133"/>
      <c r="ZW13" s="133"/>
      <c r="ZX13" s="133"/>
      <c r="ZY13" s="133"/>
      <c r="ZZ13" s="133"/>
      <c r="AAA13" s="133"/>
      <c r="AAB13" s="133"/>
      <c r="AAC13" s="133"/>
      <c r="AAD13" s="133"/>
      <c r="AAE13" s="133"/>
      <c r="AAF13" s="133"/>
      <c r="AAG13" s="133"/>
      <c r="AAH13" s="133"/>
      <c r="AAI13" s="133"/>
      <c r="AAJ13" s="133"/>
      <c r="AAK13" s="133"/>
      <c r="AAL13" s="133"/>
      <c r="AAM13" s="133"/>
      <c r="AAN13" s="133"/>
      <c r="AAO13" s="133"/>
      <c r="AAP13" s="133"/>
      <c r="AAQ13" s="133"/>
      <c r="AAR13" s="133"/>
      <c r="AAS13" s="133"/>
      <c r="AAT13" s="133"/>
      <c r="AAU13" s="133"/>
      <c r="AAV13" s="133"/>
      <c r="AAW13" s="133"/>
      <c r="AAX13" s="133"/>
      <c r="AAY13" s="133"/>
      <c r="AAZ13" s="133"/>
      <c r="ABA13" s="133"/>
      <c r="ABB13" s="133"/>
      <c r="ABC13" s="133"/>
      <c r="ABD13" s="133"/>
      <c r="ABE13" s="133"/>
      <c r="ABF13" s="133"/>
      <c r="ABG13" s="133"/>
      <c r="ABH13" s="133"/>
      <c r="ABI13" s="133"/>
      <c r="ABJ13" s="133"/>
      <c r="ABK13" s="133"/>
      <c r="ABL13" s="133"/>
      <c r="ABM13" s="133"/>
      <c r="ABN13" s="133"/>
      <c r="ABO13" s="133"/>
      <c r="ABP13" s="133"/>
      <c r="ABQ13" s="133"/>
      <c r="ABR13" s="133"/>
      <c r="ABS13" s="133"/>
      <c r="ABT13" s="133"/>
      <c r="ABU13" s="133"/>
      <c r="ABV13" s="133"/>
      <c r="ABW13" s="133"/>
      <c r="ABX13" s="133"/>
      <c r="ABY13" s="133"/>
      <c r="ABZ13" s="133"/>
      <c r="ACA13" s="133"/>
      <c r="ACB13" s="133"/>
      <c r="ACC13" s="133"/>
      <c r="ACD13" s="133"/>
      <c r="ACE13" s="133"/>
      <c r="ACF13" s="133"/>
      <c r="ACG13" s="133"/>
      <c r="ACH13" s="133"/>
      <c r="ACI13" s="133"/>
      <c r="ACJ13" s="133"/>
      <c r="ACK13" s="133"/>
      <c r="ACL13" s="133"/>
      <c r="ACM13" s="133"/>
      <c r="ACN13" s="133"/>
      <c r="ACO13" s="133"/>
      <c r="ACP13" s="133"/>
      <c r="ACQ13" s="133"/>
      <c r="ACR13" s="133"/>
      <c r="ACS13" s="133"/>
      <c r="ACT13" s="133"/>
      <c r="ACU13" s="133"/>
      <c r="ACV13" s="133"/>
      <c r="ACW13" s="133"/>
      <c r="ACX13" s="133"/>
      <c r="ACY13" s="133"/>
      <c r="ACZ13" s="133"/>
      <c r="ADA13" s="133"/>
      <c r="ADB13" s="133"/>
      <c r="ADC13" s="133"/>
      <c r="ADD13" s="133"/>
      <c r="ADE13" s="133"/>
      <c r="ADF13" s="133"/>
      <c r="ADG13" s="133"/>
      <c r="ADH13" s="133"/>
      <c r="ADI13" s="133"/>
      <c r="ADJ13" s="133"/>
      <c r="ADK13" s="133"/>
      <c r="ADL13" s="133"/>
      <c r="ADM13" s="133"/>
      <c r="ADN13" s="133"/>
      <c r="ADO13" s="133"/>
      <c r="ADP13" s="133"/>
      <c r="ADQ13" s="133"/>
      <c r="ADR13" s="133"/>
      <c r="ADS13" s="133"/>
      <c r="ADT13" s="133"/>
      <c r="ADU13" s="133"/>
      <c r="ADV13" s="133"/>
      <c r="ADW13" s="133"/>
      <c r="ADX13" s="133"/>
      <c r="ADY13" s="133"/>
      <c r="ADZ13" s="133"/>
      <c r="AEA13" s="133"/>
      <c r="AEB13" s="133"/>
      <c r="AEC13" s="133"/>
      <c r="AED13" s="133"/>
      <c r="AEE13" s="133"/>
      <c r="AEF13" s="133"/>
      <c r="AEG13" s="133"/>
      <c r="AEH13" s="133"/>
      <c r="AEI13" s="133"/>
      <c r="AEJ13" s="133"/>
      <c r="AEK13" s="133"/>
      <c r="AEL13" s="133"/>
      <c r="AEM13" s="133"/>
      <c r="AEN13" s="133"/>
      <c r="AEO13" s="133"/>
      <c r="AEP13" s="133"/>
      <c r="AEQ13" s="133"/>
      <c r="AER13" s="133"/>
      <c r="AES13" s="133"/>
      <c r="AET13" s="133"/>
      <c r="AEU13" s="133"/>
      <c r="AEV13" s="133"/>
      <c r="AEW13" s="133"/>
      <c r="AEX13" s="133"/>
      <c r="AEY13" s="133"/>
      <c r="AEZ13" s="133"/>
      <c r="AFA13" s="133"/>
      <c r="AFB13" s="133"/>
      <c r="AFC13" s="133"/>
      <c r="AFD13" s="133"/>
      <c r="AFE13" s="133"/>
      <c r="AFF13" s="133"/>
      <c r="AFG13" s="133"/>
      <c r="AFH13" s="133"/>
      <c r="AFI13" s="133"/>
      <c r="AFJ13" s="133"/>
      <c r="AFK13" s="133"/>
      <c r="AFL13" s="133"/>
      <c r="AFM13" s="133"/>
      <c r="AFN13" s="133"/>
      <c r="AFO13" s="133"/>
      <c r="AFP13" s="133"/>
      <c r="AFQ13" s="133"/>
      <c r="AFR13" s="133"/>
      <c r="AFS13" s="133"/>
      <c r="AFT13" s="133"/>
      <c r="AFU13" s="133"/>
      <c r="AFV13" s="133"/>
      <c r="AFW13" s="133"/>
      <c r="AFX13" s="133"/>
      <c r="AFY13" s="133"/>
      <c r="AFZ13" s="133"/>
      <c r="AGA13" s="133"/>
      <c r="AGB13" s="133"/>
      <c r="AGC13" s="133"/>
      <c r="AGD13" s="133"/>
      <c r="AGE13" s="133"/>
      <c r="AGF13" s="133"/>
      <c r="AGG13" s="133"/>
      <c r="AGH13" s="133"/>
      <c r="AGI13" s="133"/>
      <c r="AGJ13" s="133"/>
      <c r="AGK13" s="133"/>
      <c r="AGL13" s="133"/>
      <c r="AGM13" s="133"/>
      <c r="AGN13" s="133"/>
      <c r="AGO13" s="133"/>
      <c r="AGP13" s="133"/>
      <c r="AGQ13" s="133"/>
      <c r="AGR13" s="133"/>
      <c r="AGS13" s="133"/>
      <c r="AGT13" s="133"/>
      <c r="AGU13" s="133"/>
      <c r="AGV13" s="133"/>
      <c r="AGW13" s="133"/>
      <c r="AGX13" s="133"/>
      <c r="AGY13" s="133"/>
      <c r="AGZ13" s="133"/>
      <c r="AHA13" s="133"/>
      <c r="AHB13" s="133"/>
      <c r="AHC13" s="133"/>
      <c r="AHD13" s="133"/>
      <c r="AHE13" s="133"/>
      <c r="AHF13" s="133"/>
      <c r="AHG13" s="133"/>
      <c r="AHH13" s="133"/>
      <c r="AHI13" s="133"/>
      <c r="AHJ13" s="133"/>
      <c r="AHK13" s="133"/>
      <c r="AHL13" s="133"/>
      <c r="AHM13" s="133"/>
      <c r="AHN13" s="133"/>
      <c r="AHO13" s="133"/>
      <c r="AHP13" s="133"/>
      <c r="AHQ13" s="133"/>
      <c r="AHR13" s="133"/>
      <c r="AHS13" s="133"/>
      <c r="AHT13" s="133"/>
      <c r="AHU13" s="133"/>
      <c r="AHV13" s="133"/>
      <c r="AHW13" s="133"/>
      <c r="AHX13" s="133"/>
      <c r="AHY13" s="133"/>
      <c r="AHZ13" s="133"/>
      <c r="AIA13" s="133"/>
      <c r="AIB13" s="133"/>
      <c r="AIC13" s="133"/>
      <c r="AID13" s="133"/>
      <c r="AIE13" s="133"/>
      <c r="AIF13" s="133"/>
      <c r="AIG13" s="133"/>
      <c r="AIH13" s="133"/>
      <c r="AII13" s="133"/>
      <c r="AIJ13" s="133"/>
      <c r="AIK13" s="133"/>
      <c r="AIL13" s="133"/>
      <c r="AIM13" s="133"/>
      <c r="AIN13" s="133"/>
      <c r="AIO13" s="133"/>
      <c r="AIP13" s="133"/>
      <c r="AIQ13" s="133"/>
      <c r="AIR13" s="133"/>
      <c r="AIS13" s="133"/>
      <c r="AIT13" s="133"/>
      <c r="AIU13" s="133"/>
      <c r="AIV13" s="133"/>
      <c r="AIW13" s="133"/>
      <c r="AIX13" s="133"/>
      <c r="AIY13" s="133"/>
      <c r="AIZ13" s="133"/>
      <c r="AJA13" s="133"/>
      <c r="AJB13" s="133"/>
      <c r="AJC13" s="133"/>
      <c r="AJD13" s="133"/>
      <c r="AJE13" s="133"/>
      <c r="AJF13" s="133"/>
      <c r="AJG13" s="133"/>
      <c r="AJH13" s="133"/>
      <c r="AJI13" s="133"/>
      <c r="AJJ13" s="133"/>
      <c r="AJK13" s="133"/>
      <c r="AJL13" s="133"/>
      <c r="AJM13" s="133"/>
      <c r="AJN13" s="133"/>
      <c r="AJO13" s="133"/>
      <c r="AJP13" s="133"/>
      <c r="AJQ13" s="133"/>
      <c r="AJR13" s="133"/>
      <c r="AJS13" s="133"/>
      <c r="AJT13" s="133"/>
      <c r="AJU13" s="133"/>
      <c r="AJV13" s="133"/>
      <c r="AJW13" s="133"/>
      <c r="AJX13" s="133"/>
      <c r="AJY13" s="133"/>
      <c r="AJZ13" s="133"/>
      <c r="AKA13" s="133"/>
      <c r="AKB13" s="133"/>
      <c r="AKC13" s="133"/>
      <c r="AKD13" s="133"/>
      <c r="AKE13" s="133"/>
      <c r="AKF13" s="133"/>
      <c r="AKG13" s="133"/>
      <c r="AKH13" s="133"/>
      <c r="AKI13" s="133"/>
      <c r="AKJ13" s="133"/>
      <c r="AKK13" s="133"/>
      <c r="AKL13" s="133"/>
      <c r="AKM13" s="133"/>
      <c r="AKN13" s="133"/>
      <c r="AKO13" s="133"/>
      <c r="AKP13" s="133"/>
      <c r="AKQ13" s="133"/>
      <c r="AKR13" s="133"/>
      <c r="AKS13" s="133"/>
      <c r="AKT13" s="133"/>
      <c r="AKU13" s="133"/>
      <c r="AKV13" s="133"/>
      <c r="AKW13" s="133"/>
      <c r="AKX13" s="133"/>
      <c r="AKY13" s="133"/>
      <c r="AKZ13" s="133"/>
      <c r="ALA13" s="133"/>
      <c r="ALB13" s="133"/>
      <c r="ALC13" s="133"/>
      <c r="ALD13" s="133"/>
      <c r="ALE13" s="133"/>
    </row>
    <row r="14" spans="1:993" s="135" customFormat="1" ht="23.25">
      <c r="A14" s="134"/>
      <c r="B14" s="134"/>
      <c r="C14" s="319"/>
      <c r="D14" s="319"/>
      <c r="E14" s="319"/>
      <c r="F14" s="319"/>
      <c r="G14" s="133"/>
      <c r="H14" s="161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33"/>
      <c r="SV14" s="133"/>
      <c r="SW14" s="133"/>
      <c r="SX14" s="133"/>
      <c r="SY14" s="133"/>
      <c r="SZ14" s="133"/>
      <c r="TA14" s="133"/>
      <c r="TB14" s="133"/>
      <c r="TC14" s="133"/>
      <c r="TD14" s="133"/>
      <c r="TE14" s="133"/>
      <c r="TF14" s="133"/>
      <c r="TG14" s="133"/>
      <c r="TH14" s="133"/>
      <c r="TI14" s="133"/>
      <c r="TJ14" s="133"/>
      <c r="TK14" s="133"/>
      <c r="TL14" s="133"/>
      <c r="TM14" s="133"/>
      <c r="TN14" s="133"/>
      <c r="TO14" s="133"/>
      <c r="TP14" s="133"/>
      <c r="TQ14" s="133"/>
      <c r="TR14" s="133"/>
      <c r="TS14" s="133"/>
      <c r="TT14" s="133"/>
      <c r="TU14" s="133"/>
      <c r="TV14" s="133"/>
      <c r="TW14" s="133"/>
      <c r="TX14" s="133"/>
      <c r="TY14" s="133"/>
      <c r="TZ14" s="133"/>
      <c r="UA14" s="133"/>
      <c r="UB14" s="133"/>
      <c r="UC14" s="133"/>
      <c r="UD14" s="133"/>
      <c r="UE14" s="133"/>
      <c r="UF14" s="133"/>
      <c r="UG14" s="133"/>
      <c r="UH14" s="133"/>
      <c r="UI14" s="133"/>
      <c r="UJ14" s="133"/>
      <c r="UK14" s="133"/>
      <c r="UL14" s="133"/>
      <c r="UM14" s="133"/>
      <c r="UN14" s="133"/>
      <c r="UO14" s="133"/>
      <c r="UP14" s="133"/>
      <c r="UQ14" s="133"/>
      <c r="UR14" s="133"/>
      <c r="US14" s="133"/>
      <c r="UT14" s="133"/>
      <c r="UU14" s="133"/>
      <c r="UV14" s="133"/>
      <c r="UW14" s="133"/>
      <c r="UX14" s="133"/>
      <c r="UY14" s="133"/>
      <c r="UZ14" s="133"/>
      <c r="VA14" s="133"/>
      <c r="VB14" s="133"/>
      <c r="VC14" s="133"/>
      <c r="VD14" s="133"/>
      <c r="VE14" s="133"/>
      <c r="VF14" s="133"/>
      <c r="VG14" s="133"/>
      <c r="VH14" s="133"/>
      <c r="VI14" s="133"/>
      <c r="VJ14" s="133"/>
      <c r="VK14" s="133"/>
      <c r="VL14" s="133"/>
      <c r="VM14" s="133"/>
      <c r="VN14" s="133"/>
      <c r="VO14" s="133"/>
      <c r="VP14" s="133"/>
      <c r="VQ14" s="133"/>
      <c r="VR14" s="133"/>
      <c r="VS14" s="133"/>
      <c r="VT14" s="133"/>
      <c r="VU14" s="133"/>
      <c r="VV14" s="133"/>
      <c r="VW14" s="133"/>
      <c r="VX14" s="133"/>
      <c r="VY14" s="133"/>
      <c r="VZ14" s="133"/>
      <c r="WA14" s="133"/>
      <c r="WB14" s="133"/>
      <c r="WC14" s="133"/>
      <c r="WD14" s="133"/>
      <c r="WE14" s="133"/>
      <c r="WF14" s="133"/>
      <c r="WG14" s="133"/>
      <c r="WH14" s="133"/>
      <c r="WI14" s="133"/>
      <c r="WJ14" s="133"/>
      <c r="WK14" s="133"/>
      <c r="WL14" s="133"/>
      <c r="WM14" s="133"/>
      <c r="WN14" s="133"/>
      <c r="WO14" s="133"/>
      <c r="WP14" s="133"/>
      <c r="WQ14" s="133"/>
      <c r="WR14" s="133"/>
      <c r="WS14" s="133"/>
      <c r="WT14" s="133"/>
      <c r="WU14" s="133"/>
      <c r="WV14" s="133"/>
      <c r="WW14" s="133"/>
      <c r="WX14" s="133"/>
      <c r="WY14" s="133"/>
      <c r="WZ14" s="133"/>
      <c r="XA14" s="133"/>
      <c r="XB14" s="133"/>
      <c r="XC14" s="133"/>
      <c r="XD14" s="133"/>
      <c r="XE14" s="133"/>
      <c r="XF14" s="133"/>
      <c r="XG14" s="133"/>
      <c r="XH14" s="133"/>
      <c r="XI14" s="133"/>
      <c r="XJ14" s="133"/>
      <c r="XK14" s="133"/>
      <c r="XL14" s="133"/>
      <c r="XM14" s="133"/>
      <c r="XN14" s="133"/>
      <c r="XO14" s="133"/>
      <c r="XP14" s="133"/>
      <c r="XQ14" s="133"/>
      <c r="XR14" s="133"/>
      <c r="XS14" s="133"/>
      <c r="XT14" s="133"/>
      <c r="XU14" s="133"/>
      <c r="XV14" s="133"/>
      <c r="XW14" s="133"/>
      <c r="XX14" s="133"/>
      <c r="XY14" s="133"/>
      <c r="XZ14" s="133"/>
      <c r="YA14" s="133"/>
      <c r="YB14" s="133"/>
      <c r="YC14" s="133"/>
      <c r="YD14" s="133"/>
      <c r="YE14" s="133"/>
      <c r="YF14" s="133"/>
      <c r="YG14" s="133"/>
      <c r="YH14" s="133"/>
      <c r="YI14" s="133"/>
      <c r="YJ14" s="133"/>
      <c r="YK14" s="133"/>
      <c r="YL14" s="133"/>
      <c r="YM14" s="133"/>
      <c r="YN14" s="133"/>
      <c r="YO14" s="133"/>
      <c r="YP14" s="133"/>
      <c r="YQ14" s="133"/>
      <c r="YR14" s="133"/>
      <c r="YS14" s="133"/>
      <c r="YT14" s="133"/>
      <c r="YU14" s="133"/>
      <c r="YV14" s="133"/>
      <c r="YW14" s="133"/>
      <c r="YX14" s="133"/>
      <c r="YY14" s="133"/>
      <c r="YZ14" s="133"/>
      <c r="ZA14" s="133"/>
      <c r="ZB14" s="133"/>
      <c r="ZC14" s="133"/>
      <c r="ZD14" s="133"/>
      <c r="ZE14" s="133"/>
      <c r="ZF14" s="133"/>
      <c r="ZG14" s="133"/>
      <c r="ZH14" s="133"/>
      <c r="ZI14" s="133"/>
      <c r="ZJ14" s="133"/>
      <c r="ZK14" s="133"/>
      <c r="ZL14" s="133"/>
      <c r="ZM14" s="133"/>
      <c r="ZN14" s="133"/>
      <c r="ZO14" s="133"/>
      <c r="ZP14" s="133"/>
      <c r="ZQ14" s="133"/>
      <c r="ZR14" s="133"/>
      <c r="ZS14" s="133"/>
      <c r="ZT14" s="133"/>
      <c r="ZU14" s="133"/>
      <c r="ZV14" s="133"/>
      <c r="ZW14" s="133"/>
      <c r="ZX14" s="133"/>
      <c r="ZY14" s="133"/>
      <c r="ZZ14" s="133"/>
      <c r="AAA14" s="133"/>
      <c r="AAB14" s="133"/>
      <c r="AAC14" s="133"/>
      <c r="AAD14" s="133"/>
      <c r="AAE14" s="133"/>
      <c r="AAF14" s="133"/>
      <c r="AAG14" s="133"/>
      <c r="AAH14" s="133"/>
      <c r="AAI14" s="133"/>
      <c r="AAJ14" s="133"/>
      <c r="AAK14" s="133"/>
      <c r="AAL14" s="133"/>
      <c r="AAM14" s="133"/>
      <c r="AAN14" s="133"/>
      <c r="AAO14" s="133"/>
      <c r="AAP14" s="133"/>
      <c r="AAQ14" s="133"/>
      <c r="AAR14" s="133"/>
      <c r="AAS14" s="133"/>
      <c r="AAT14" s="133"/>
      <c r="AAU14" s="133"/>
      <c r="AAV14" s="133"/>
      <c r="AAW14" s="133"/>
      <c r="AAX14" s="133"/>
      <c r="AAY14" s="133"/>
      <c r="AAZ14" s="133"/>
      <c r="ABA14" s="133"/>
      <c r="ABB14" s="133"/>
      <c r="ABC14" s="133"/>
      <c r="ABD14" s="133"/>
      <c r="ABE14" s="133"/>
      <c r="ABF14" s="133"/>
      <c r="ABG14" s="133"/>
      <c r="ABH14" s="133"/>
      <c r="ABI14" s="133"/>
      <c r="ABJ14" s="133"/>
      <c r="ABK14" s="133"/>
      <c r="ABL14" s="133"/>
      <c r="ABM14" s="133"/>
      <c r="ABN14" s="133"/>
      <c r="ABO14" s="133"/>
      <c r="ABP14" s="133"/>
      <c r="ABQ14" s="133"/>
      <c r="ABR14" s="133"/>
      <c r="ABS14" s="133"/>
      <c r="ABT14" s="133"/>
      <c r="ABU14" s="133"/>
      <c r="ABV14" s="133"/>
      <c r="ABW14" s="133"/>
      <c r="ABX14" s="133"/>
      <c r="ABY14" s="133"/>
      <c r="ABZ14" s="133"/>
      <c r="ACA14" s="133"/>
      <c r="ACB14" s="133"/>
      <c r="ACC14" s="133"/>
      <c r="ACD14" s="133"/>
      <c r="ACE14" s="133"/>
      <c r="ACF14" s="133"/>
      <c r="ACG14" s="133"/>
      <c r="ACH14" s="133"/>
      <c r="ACI14" s="133"/>
      <c r="ACJ14" s="133"/>
      <c r="ACK14" s="133"/>
      <c r="ACL14" s="133"/>
      <c r="ACM14" s="133"/>
      <c r="ACN14" s="133"/>
      <c r="ACO14" s="133"/>
      <c r="ACP14" s="133"/>
      <c r="ACQ14" s="133"/>
      <c r="ACR14" s="133"/>
      <c r="ACS14" s="133"/>
      <c r="ACT14" s="133"/>
      <c r="ACU14" s="133"/>
      <c r="ACV14" s="133"/>
      <c r="ACW14" s="133"/>
      <c r="ACX14" s="133"/>
      <c r="ACY14" s="133"/>
      <c r="ACZ14" s="133"/>
      <c r="ADA14" s="133"/>
      <c r="ADB14" s="133"/>
      <c r="ADC14" s="133"/>
      <c r="ADD14" s="133"/>
      <c r="ADE14" s="133"/>
      <c r="ADF14" s="133"/>
      <c r="ADG14" s="133"/>
      <c r="ADH14" s="133"/>
      <c r="ADI14" s="133"/>
      <c r="ADJ14" s="133"/>
      <c r="ADK14" s="133"/>
      <c r="ADL14" s="133"/>
      <c r="ADM14" s="133"/>
      <c r="ADN14" s="133"/>
      <c r="ADO14" s="133"/>
      <c r="ADP14" s="133"/>
      <c r="ADQ14" s="133"/>
      <c r="ADR14" s="133"/>
      <c r="ADS14" s="133"/>
      <c r="ADT14" s="133"/>
      <c r="ADU14" s="133"/>
      <c r="ADV14" s="133"/>
      <c r="ADW14" s="133"/>
      <c r="ADX14" s="133"/>
      <c r="ADY14" s="133"/>
      <c r="ADZ14" s="133"/>
      <c r="AEA14" s="133"/>
      <c r="AEB14" s="133"/>
      <c r="AEC14" s="133"/>
      <c r="AED14" s="133"/>
      <c r="AEE14" s="133"/>
      <c r="AEF14" s="133"/>
      <c r="AEG14" s="133"/>
      <c r="AEH14" s="133"/>
      <c r="AEI14" s="133"/>
      <c r="AEJ14" s="133"/>
      <c r="AEK14" s="133"/>
      <c r="AEL14" s="133"/>
      <c r="AEM14" s="133"/>
      <c r="AEN14" s="133"/>
      <c r="AEO14" s="133"/>
      <c r="AEP14" s="133"/>
      <c r="AEQ14" s="133"/>
      <c r="AER14" s="133"/>
      <c r="AES14" s="133"/>
      <c r="AET14" s="133"/>
      <c r="AEU14" s="133"/>
      <c r="AEV14" s="133"/>
      <c r="AEW14" s="133"/>
      <c r="AEX14" s="133"/>
      <c r="AEY14" s="133"/>
      <c r="AEZ14" s="133"/>
      <c r="AFA14" s="133"/>
      <c r="AFB14" s="133"/>
      <c r="AFC14" s="133"/>
      <c r="AFD14" s="133"/>
      <c r="AFE14" s="133"/>
      <c r="AFF14" s="133"/>
      <c r="AFG14" s="133"/>
      <c r="AFH14" s="133"/>
      <c r="AFI14" s="133"/>
      <c r="AFJ14" s="133"/>
      <c r="AFK14" s="133"/>
      <c r="AFL14" s="133"/>
      <c r="AFM14" s="133"/>
      <c r="AFN14" s="133"/>
      <c r="AFO14" s="133"/>
      <c r="AFP14" s="133"/>
      <c r="AFQ14" s="133"/>
      <c r="AFR14" s="133"/>
      <c r="AFS14" s="133"/>
      <c r="AFT14" s="133"/>
      <c r="AFU14" s="133"/>
      <c r="AFV14" s="133"/>
      <c r="AFW14" s="133"/>
      <c r="AFX14" s="133"/>
      <c r="AFY14" s="133"/>
      <c r="AFZ14" s="133"/>
      <c r="AGA14" s="133"/>
      <c r="AGB14" s="133"/>
      <c r="AGC14" s="133"/>
      <c r="AGD14" s="133"/>
      <c r="AGE14" s="133"/>
      <c r="AGF14" s="133"/>
      <c r="AGG14" s="133"/>
      <c r="AGH14" s="133"/>
      <c r="AGI14" s="133"/>
      <c r="AGJ14" s="133"/>
      <c r="AGK14" s="133"/>
      <c r="AGL14" s="133"/>
      <c r="AGM14" s="133"/>
      <c r="AGN14" s="133"/>
      <c r="AGO14" s="133"/>
      <c r="AGP14" s="133"/>
      <c r="AGQ14" s="133"/>
      <c r="AGR14" s="133"/>
      <c r="AGS14" s="133"/>
      <c r="AGT14" s="133"/>
      <c r="AGU14" s="133"/>
      <c r="AGV14" s="133"/>
      <c r="AGW14" s="133"/>
      <c r="AGX14" s="133"/>
      <c r="AGY14" s="133"/>
      <c r="AGZ14" s="133"/>
      <c r="AHA14" s="133"/>
      <c r="AHB14" s="133"/>
      <c r="AHC14" s="133"/>
      <c r="AHD14" s="133"/>
      <c r="AHE14" s="133"/>
      <c r="AHF14" s="133"/>
      <c r="AHG14" s="133"/>
      <c r="AHH14" s="133"/>
      <c r="AHI14" s="133"/>
      <c r="AHJ14" s="133"/>
      <c r="AHK14" s="133"/>
      <c r="AHL14" s="133"/>
      <c r="AHM14" s="133"/>
      <c r="AHN14" s="133"/>
      <c r="AHO14" s="133"/>
      <c r="AHP14" s="133"/>
      <c r="AHQ14" s="133"/>
      <c r="AHR14" s="133"/>
      <c r="AHS14" s="133"/>
      <c r="AHT14" s="133"/>
      <c r="AHU14" s="133"/>
      <c r="AHV14" s="133"/>
      <c r="AHW14" s="133"/>
      <c r="AHX14" s="133"/>
      <c r="AHY14" s="133"/>
      <c r="AHZ14" s="133"/>
      <c r="AIA14" s="133"/>
      <c r="AIB14" s="133"/>
      <c r="AIC14" s="133"/>
      <c r="AID14" s="133"/>
      <c r="AIE14" s="133"/>
      <c r="AIF14" s="133"/>
      <c r="AIG14" s="133"/>
      <c r="AIH14" s="133"/>
      <c r="AII14" s="133"/>
      <c r="AIJ14" s="133"/>
      <c r="AIK14" s="133"/>
      <c r="AIL14" s="133"/>
      <c r="AIM14" s="133"/>
      <c r="AIN14" s="133"/>
      <c r="AIO14" s="133"/>
      <c r="AIP14" s="133"/>
      <c r="AIQ14" s="133"/>
      <c r="AIR14" s="133"/>
      <c r="AIS14" s="133"/>
      <c r="AIT14" s="133"/>
      <c r="AIU14" s="133"/>
      <c r="AIV14" s="133"/>
      <c r="AIW14" s="133"/>
      <c r="AIX14" s="133"/>
      <c r="AIY14" s="133"/>
      <c r="AIZ14" s="133"/>
      <c r="AJA14" s="133"/>
      <c r="AJB14" s="133"/>
      <c r="AJC14" s="133"/>
      <c r="AJD14" s="133"/>
      <c r="AJE14" s="133"/>
      <c r="AJF14" s="133"/>
      <c r="AJG14" s="133"/>
      <c r="AJH14" s="133"/>
      <c r="AJI14" s="133"/>
      <c r="AJJ14" s="133"/>
      <c r="AJK14" s="133"/>
      <c r="AJL14" s="133"/>
      <c r="AJM14" s="133"/>
      <c r="AJN14" s="133"/>
      <c r="AJO14" s="133"/>
      <c r="AJP14" s="133"/>
      <c r="AJQ14" s="133"/>
      <c r="AJR14" s="133"/>
      <c r="AJS14" s="133"/>
      <c r="AJT14" s="133"/>
      <c r="AJU14" s="133"/>
      <c r="AJV14" s="133"/>
      <c r="AJW14" s="133"/>
      <c r="AJX14" s="133"/>
      <c r="AJY14" s="133"/>
      <c r="AJZ14" s="133"/>
      <c r="AKA14" s="133"/>
      <c r="AKB14" s="133"/>
      <c r="AKC14" s="133"/>
      <c r="AKD14" s="133"/>
      <c r="AKE14" s="133"/>
      <c r="AKF14" s="133"/>
      <c r="AKG14" s="133"/>
      <c r="AKH14" s="133"/>
      <c r="AKI14" s="133"/>
      <c r="AKJ14" s="133"/>
      <c r="AKK14" s="133"/>
      <c r="AKL14" s="133"/>
      <c r="AKM14" s="133"/>
      <c r="AKN14" s="133"/>
      <c r="AKO14" s="133"/>
      <c r="AKP14" s="133"/>
      <c r="AKQ14" s="133"/>
      <c r="AKR14" s="133"/>
      <c r="AKS14" s="133"/>
      <c r="AKT14" s="133"/>
      <c r="AKU14" s="133"/>
      <c r="AKV14" s="133"/>
      <c r="AKW14" s="133"/>
      <c r="AKX14" s="133"/>
      <c r="AKY14" s="133"/>
      <c r="AKZ14" s="133"/>
      <c r="ALA14" s="133"/>
      <c r="ALB14" s="133"/>
      <c r="ALC14" s="133"/>
      <c r="ALD14" s="133"/>
      <c r="ALE14" s="133"/>
    </row>
    <row r="15" spans="1:993" s="135" customFormat="1" ht="34.5" customHeight="1">
      <c r="A15" s="134"/>
      <c r="B15" s="134"/>
      <c r="C15" s="326" t="s">
        <v>2690</v>
      </c>
      <c r="D15" s="326"/>
      <c r="E15" s="326"/>
      <c r="F15" s="326"/>
      <c r="G15" s="133"/>
      <c r="H15" s="161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</row>
    <row r="16" spans="1:993" s="135" customFormat="1" ht="34.5" customHeight="1">
      <c r="A16" s="134"/>
      <c r="B16" s="134"/>
      <c r="C16" s="326" t="s">
        <v>2691</v>
      </c>
      <c r="D16" s="326"/>
      <c r="E16" s="326"/>
      <c r="F16" s="326"/>
      <c r="G16" s="133"/>
      <c r="H16" s="161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  <c r="AFP16" s="133"/>
      <c r="AFQ16" s="133"/>
      <c r="AFR16" s="133"/>
      <c r="AFS16" s="133"/>
      <c r="AFT16" s="133"/>
      <c r="AFU16" s="133"/>
      <c r="AFV16" s="133"/>
      <c r="AFW16" s="133"/>
      <c r="AFX16" s="133"/>
      <c r="AFY16" s="133"/>
      <c r="AFZ16" s="133"/>
      <c r="AGA16" s="133"/>
      <c r="AGB16" s="133"/>
      <c r="AGC16" s="133"/>
      <c r="AGD16" s="133"/>
      <c r="AGE16" s="133"/>
      <c r="AGF16" s="133"/>
      <c r="AGG16" s="133"/>
      <c r="AGH16" s="133"/>
      <c r="AGI16" s="133"/>
      <c r="AGJ16" s="133"/>
      <c r="AGK16" s="133"/>
      <c r="AGL16" s="133"/>
      <c r="AGM16" s="133"/>
      <c r="AGN16" s="133"/>
      <c r="AGO16" s="133"/>
      <c r="AGP16" s="133"/>
      <c r="AGQ16" s="133"/>
      <c r="AGR16" s="133"/>
      <c r="AGS16" s="133"/>
      <c r="AGT16" s="133"/>
      <c r="AGU16" s="133"/>
      <c r="AGV16" s="133"/>
      <c r="AGW16" s="133"/>
      <c r="AGX16" s="133"/>
      <c r="AGY16" s="133"/>
      <c r="AGZ16" s="133"/>
      <c r="AHA16" s="133"/>
      <c r="AHB16" s="133"/>
      <c r="AHC16" s="133"/>
      <c r="AHD16" s="133"/>
      <c r="AHE16" s="133"/>
      <c r="AHF16" s="133"/>
      <c r="AHG16" s="133"/>
      <c r="AHH16" s="133"/>
      <c r="AHI16" s="133"/>
      <c r="AHJ16" s="133"/>
      <c r="AHK16" s="133"/>
      <c r="AHL16" s="133"/>
      <c r="AHM16" s="133"/>
      <c r="AHN16" s="133"/>
      <c r="AHO16" s="133"/>
      <c r="AHP16" s="133"/>
      <c r="AHQ16" s="133"/>
      <c r="AHR16" s="133"/>
      <c r="AHS16" s="133"/>
      <c r="AHT16" s="133"/>
      <c r="AHU16" s="133"/>
      <c r="AHV16" s="133"/>
      <c r="AHW16" s="133"/>
      <c r="AHX16" s="133"/>
      <c r="AHY16" s="133"/>
      <c r="AHZ16" s="133"/>
      <c r="AIA16" s="133"/>
      <c r="AIB16" s="133"/>
      <c r="AIC16" s="133"/>
      <c r="AID16" s="133"/>
      <c r="AIE16" s="133"/>
      <c r="AIF16" s="133"/>
      <c r="AIG16" s="133"/>
      <c r="AIH16" s="133"/>
      <c r="AII16" s="133"/>
      <c r="AIJ16" s="133"/>
      <c r="AIK16" s="133"/>
      <c r="AIL16" s="133"/>
      <c r="AIM16" s="133"/>
      <c r="AIN16" s="133"/>
      <c r="AIO16" s="133"/>
      <c r="AIP16" s="133"/>
      <c r="AIQ16" s="133"/>
      <c r="AIR16" s="133"/>
      <c r="AIS16" s="133"/>
      <c r="AIT16" s="133"/>
      <c r="AIU16" s="133"/>
      <c r="AIV16" s="133"/>
      <c r="AIW16" s="133"/>
      <c r="AIX16" s="133"/>
      <c r="AIY16" s="133"/>
      <c r="AIZ16" s="133"/>
      <c r="AJA16" s="133"/>
      <c r="AJB16" s="133"/>
      <c r="AJC16" s="133"/>
      <c r="AJD16" s="133"/>
      <c r="AJE16" s="133"/>
      <c r="AJF16" s="133"/>
      <c r="AJG16" s="133"/>
      <c r="AJH16" s="133"/>
      <c r="AJI16" s="133"/>
      <c r="AJJ16" s="133"/>
      <c r="AJK16" s="133"/>
      <c r="AJL16" s="133"/>
      <c r="AJM16" s="133"/>
      <c r="AJN16" s="133"/>
      <c r="AJO16" s="133"/>
      <c r="AJP16" s="133"/>
      <c r="AJQ16" s="133"/>
      <c r="AJR16" s="133"/>
      <c r="AJS16" s="133"/>
      <c r="AJT16" s="133"/>
      <c r="AJU16" s="133"/>
      <c r="AJV16" s="133"/>
      <c r="AJW16" s="133"/>
      <c r="AJX16" s="133"/>
      <c r="AJY16" s="133"/>
      <c r="AJZ16" s="133"/>
      <c r="AKA16" s="133"/>
      <c r="AKB16" s="133"/>
      <c r="AKC16" s="133"/>
      <c r="AKD16" s="133"/>
      <c r="AKE16" s="133"/>
      <c r="AKF16" s="133"/>
      <c r="AKG16" s="133"/>
      <c r="AKH16" s="133"/>
      <c r="AKI16" s="133"/>
      <c r="AKJ16" s="133"/>
      <c r="AKK16" s="133"/>
      <c r="AKL16" s="133"/>
      <c r="AKM16" s="133"/>
      <c r="AKN16" s="133"/>
      <c r="AKO16" s="133"/>
      <c r="AKP16" s="133"/>
      <c r="AKQ16" s="133"/>
      <c r="AKR16" s="133"/>
      <c r="AKS16" s="133"/>
      <c r="AKT16" s="133"/>
      <c r="AKU16" s="133"/>
      <c r="AKV16" s="133"/>
      <c r="AKW16" s="133"/>
      <c r="AKX16" s="133"/>
      <c r="AKY16" s="133"/>
      <c r="AKZ16" s="133"/>
      <c r="ALA16" s="133"/>
      <c r="ALB16" s="133"/>
      <c r="ALC16" s="133"/>
      <c r="ALD16" s="133"/>
      <c r="ALE16" s="133"/>
    </row>
    <row r="17" spans="1:993" s="135" customFormat="1" ht="34.5" customHeight="1">
      <c r="A17" s="134"/>
      <c r="B17" s="134"/>
      <c r="C17" s="1619" t="str">
        <f>IF(OR(OsnPodaci!A58="",OsnPodaci!B58=""),"Unijeti interval izvještavanja."," od "&amp;TEXT(OsnPodaci!A58,"dd.mm.yyyy.")&amp;" do "&amp;TEXT(OsnPodaci!B58,"dd.mm.yyyy.")&amp;" godine")</f>
        <v xml:space="preserve"> od 01.01.2022. do 31.12.2022. godine</v>
      </c>
      <c r="D17" s="1619"/>
      <c r="E17" s="1619"/>
      <c r="F17" s="1619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  <c r="IW17" s="133"/>
      <c r="IX17" s="133"/>
      <c r="IY17" s="133"/>
      <c r="IZ17" s="133"/>
      <c r="JA17" s="133"/>
      <c r="JB17" s="133"/>
      <c r="JC17" s="133"/>
      <c r="JD17" s="133"/>
      <c r="JE17" s="133"/>
      <c r="JF17" s="133"/>
      <c r="JG17" s="133"/>
      <c r="JH17" s="133"/>
      <c r="JI17" s="133"/>
      <c r="JJ17" s="133"/>
      <c r="JK17" s="133"/>
      <c r="JL17" s="133"/>
      <c r="JM17" s="133"/>
      <c r="JN17" s="133"/>
      <c r="JO17" s="133"/>
      <c r="JP17" s="133"/>
      <c r="JQ17" s="133"/>
      <c r="JR17" s="133"/>
      <c r="JS17" s="133"/>
      <c r="JT17" s="133"/>
      <c r="JU17" s="133"/>
      <c r="JV17" s="133"/>
      <c r="JW17" s="133"/>
      <c r="JX17" s="133"/>
      <c r="JY17" s="133"/>
      <c r="JZ17" s="133"/>
      <c r="KA17" s="133"/>
      <c r="KB17" s="133"/>
      <c r="KC17" s="133"/>
      <c r="KD17" s="133"/>
      <c r="KE17" s="133"/>
      <c r="KF17" s="133"/>
      <c r="KG17" s="133"/>
      <c r="KH17" s="133"/>
      <c r="KI17" s="133"/>
      <c r="KJ17" s="133"/>
      <c r="KK17" s="133"/>
      <c r="KL17" s="133"/>
      <c r="KM17" s="133"/>
      <c r="KN17" s="133"/>
      <c r="KO17" s="133"/>
      <c r="KP17" s="133"/>
      <c r="KQ17" s="133"/>
      <c r="KR17" s="133"/>
      <c r="KS17" s="133"/>
      <c r="KT17" s="133"/>
      <c r="KU17" s="133"/>
      <c r="KV17" s="133"/>
      <c r="KW17" s="133"/>
      <c r="KX17" s="133"/>
      <c r="KY17" s="133"/>
      <c r="KZ17" s="133"/>
      <c r="LA17" s="133"/>
      <c r="LB17" s="133"/>
      <c r="LC17" s="133"/>
      <c r="LD17" s="133"/>
      <c r="LE17" s="133"/>
      <c r="LF17" s="133"/>
      <c r="LG17" s="133"/>
      <c r="LH17" s="133"/>
      <c r="LI17" s="133"/>
      <c r="LJ17" s="133"/>
      <c r="LK17" s="133"/>
      <c r="LL17" s="133"/>
      <c r="LM17" s="133"/>
      <c r="LN17" s="133"/>
      <c r="LO17" s="133"/>
      <c r="LP17" s="133"/>
      <c r="LQ17" s="133"/>
      <c r="LR17" s="133"/>
      <c r="LS17" s="133"/>
      <c r="LT17" s="133"/>
      <c r="LU17" s="133"/>
      <c r="LV17" s="133"/>
      <c r="LW17" s="133"/>
      <c r="LX17" s="133"/>
      <c r="LY17" s="133"/>
      <c r="LZ17" s="133"/>
      <c r="MA17" s="133"/>
      <c r="MB17" s="133"/>
      <c r="MC17" s="133"/>
      <c r="MD17" s="133"/>
      <c r="ME17" s="133"/>
      <c r="MF17" s="133"/>
      <c r="MG17" s="133"/>
      <c r="MH17" s="133"/>
      <c r="MI17" s="133"/>
      <c r="MJ17" s="133"/>
      <c r="MK17" s="133"/>
      <c r="ML17" s="133"/>
      <c r="MM17" s="133"/>
      <c r="MN17" s="133"/>
      <c r="MO17" s="133"/>
      <c r="MP17" s="133"/>
      <c r="MQ17" s="133"/>
      <c r="MR17" s="133"/>
      <c r="MS17" s="133"/>
      <c r="MT17" s="133"/>
      <c r="MU17" s="133"/>
      <c r="MV17" s="133"/>
      <c r="MW17" s="133"/>
      <c r="MX17" s="133"/>
      <c r="MY17" s="133"/>
      <c r="MZ17" s="133"/>
      <c r="NA17" s="133"/>
      <c r="NB17" s="133"/>
      <c r="NC17" s="133"/>
      <c r="ND17" s="133"/>
      <c r="NE17" s="133"/>
      <c r="NF17" s="133"/>
      <c r="NG17" s="133"/>
      <c r="NH17" s="133"/>
      <c r="NI17" s="133"/>
      <c r="NJ17" s="133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3"/>
      <c r="NY17" s="133"/>
      <c r="NZ17" s="133"/>
      <c r="OA17" s="133"/>
      <c r="OB17" s="133"/>
      <c r="OC17" s="133"/>
      <c r="OD17" s="133"/>
      <c r="OE17" s="133"/>
      <c r="OF17" s="133"/>
      <c r="OG17" s="133"/>
      <c r="OH17" s="133"/>
      <c r="OI17" s="133"/>
      <c r="OJ17" s="133"/>
      <c r="OK17" s="133"/>
      <c r="OL17" s="133"/>
      <c r="OM17" s="133"/>
      <c r="ON17" s="133"/>
      <c r="OO17" s="133"/>
      <c r="OP17" s="133"/>
      <c r="OQ17" s="133"/>
      <c r="OR17" s="133"/>
      <c r="OS17" s="133"/>
      <c r="OT17" s="133"/>
      <c r="OU17" s="133"/>
      <c r="OV17" s="133"/>
      <c r="OW17" s="133"/>
      <c r="OX17" s="133"/>
      <c r="OY17" s="133"/>
      <c r="OZ17" s="133"/>
      <c r="PA17" s="133"/>
      <c r="PB17" s="133"/>
      <c r="PC17" s="133"/>
      <c r="PD17" s="133"/>
      <c r="PE17" s="133"/>
      <c r="PF17" s="133"/>
      <c r="PG17" s="133"/>
      <c r="PH17" s="133"/>
      <c r="PI17" s="133"/>
      <c r="PJ17" s="133"/>
      <c r="PK17" s="133"/>
      <c r="PL17" s="133"/>
      <c r="PM17" s="133"/>
      <c r="PN17" s="133"/>
      <c r="PO17" s="133"/>
      <c r="PP17" s="133"/>
      <c r="PQ17" s="133"/>
      <c r="PR17" s="133"/>
      <c r="PS17" s="133"/>
      <c r="PT17" s="133"/>
      <c r="PU17" s="133"/>
      <c r="PV17" s="133"/>
      <c r="PW17" s="133"/>
      <c r="PX17" s="133"/>
      <c r="PY17" s="133"/>
      <c r="PZ17" s="133"/>
      <c r="QA17" s="133"/>
      <c r="QB17" s="133"/>
      <c r="QC17" s="133"/>
      <c r="QD17" s="133"/>
      <c r="QE17" s="133"/>
      <c r="QF17" s="133"/>
      <c r="QG17" s="133"/>
      <c r="QH17" s="133"/>
      <c r="QI17" s="133"/>
      <c r="QJ17" s="133"/>
      <c r="QK17" s="133"/>
      <c r="QL17" s="133"/>
      <c r="QM17" s="133"/>
      <c r="QN17" s="133"/>
      <c r="QO17" s="133"/>
      <c r="QP17" s="133"/>
      <c r="QQ17" s="133"/>
      <c r="QR17" s="133"/>
      <c r="QS17" s="133"/>
      <c r="QT17" s="133"/>
      <c r="QU17" s="133"/>
      <c r="QV17" s="133"/>
      <c r="QW17" s="133"/>
      <c r="QX17" s="133"/>
      <c r="QY17" s="133"/>
      <c r="QZ17" s="133"/>
      <c r="RA17" s="133"/>
      <c r="RB17" s="133"/>
      <c r="RC17" s="133"/>
      <c r="RD17" s="133"/>
      <c r="RE17" s="133"/>
      <c r="RF17" s="133"/>
      <c r="RG17" s="133"/>
      <c r="RH17" s="133"/>
      <c r="RI17" s="133"/>
      <c r="RJ17" s="133"/>
      <c r="RK17" s="133"/>
      <c r="RL17" s="133"/>
      <c r="RM17" s="133"/>
      <c r="RN17" s="133"/>
      <c r="RO17" s="133"/>
      <c r="RP17" s="133"/>
      <c r="RQ17" s="133"/>
      <c r="RR17" s="133"/>
      <c r="RS17" s="133"/>
      <c r="RT17" s="133"/>
      <c r="RU17" s="133"/>
      <c r="RV17" s="133"/>
      <c r="RW17" s="133"/>
      <c r="RX17" s="133"/>
      <c r="RY17" s="133"/>
      <c r="RZ17" s="133"/>
      <c r="SA17" s="133"/>
      <c r="SB17" s="133"/>
      <c r="SC17" s="133"/>
      <c r="SD17" s="133"/>
      <c r="SE17" s="133"/>
      <c r="SF17" s="133"/>
      <c r="SG17" s="133"/>
      <c r="SH17" s="133"/>
      <c r="SI17" s="133"/>
      <c r="SJ17" s="133"/>
      <c r="SK17" s="133"/>
      <c r="SL17" s="133"/>
      <c r="SM17" s="133"/>
      <c r="SN17" s="133"/>
      <c r="SO17" s="133"/>
      <c r="SP17" s="133"/>
      <c r="SQ17" s="133"/>
      <c r="SR17" s="133"/>
      <c r="SS17" s="133"/>
      <c r="ST17" s="133"/>
      <c r="SU17" s="133"/>
      <c r="SV17" s="133"/>
      <c r="SW17" s="133"/>
      <c r="SX17" s="133"/>
      <c r="SY17" s="133"/>
      <c r="SZ17" s="133"/>
      <c r="TA17" s="133"/>
      <c r="TB17" s="133"/>
      <c r="TC17" s="133"/>
      <c r="TD17" s="133"/>
      <c r="TE17" s="133"/>
      <c r="TF17" s="133"/>
      <c r="TG17" s="133"/>
      <c r="TH17" s="133"/>
      <c r="TI17" s="133"/>
      <c r="TJ17" s="133"/>
      <c r="TK17" s="133"/>
      <c r="TL17" s="133"/>
      <c r="TM17" s="133"/>
      <c r="TN17" s="133"/>
      <c r="TO17" s="133"/>
      <c r="TP17" s="133"/>
      <c r="TQ17" s="133"/>
      <c r="TR17" s="133"/>
      <c r="TS17" s="133"/>
      <c r="TT17" s="133"/>
      <c r="TU17" s="133"/>
      <c r="TV17" s="133"/>
      <c r="TW17" s="133"/>
      <c r="TX17" s="133"/>
      <c r="TY17" s="133"/>
      <c r="TZ17" s="133"/>
      <c r="UA17" s="133"/>
      <c r="UB17" s="133"/>
      <c r="UC17" s="133"/>
      <c r="UD17" s="133"/>
      <c r="UE17" s="133"/>
      <c r="UF17" s="133"/>
      <c r="UG17" s="133"/>
      <c r="UH17" s="133"/>
      <c r="UI17" s="133"/>
      <c r="UJ17" s="133"/>
      <c r="UK17" s="133"/>
      <c r="UL17" s="133"/>
      <c r="UM17" s="133"/>
      <c r="UN17" s="133"/>
      <c r="UO17" s="133"/>
      <c r="UP17" s="133"/>
      <c r="UQ17" s="133"/>
      <c r="UR17" s="133"/>
      <c r="US17" s="133"/>
      <c r="UT17" s="133"/>
      <c r="UU17" s="133"/>
      <c r="UV17" s="133"/>
      <c r="UW17" s="133"/>
      <c r="UX17" s="133"/>
      <c r="UY17" s="133"/>
      <c r="UZ17" s="133"/>
      <c r="VA17" s="133"/>
      <c r="VB17" s="133"/>
      <c r="VC17" s="133"/>
      <c r="VD17" s="133"/>
      <c r="VE17" s="133"/>
      <c r="VF17" s="133"/>
      <c r="VG17" s="133"/>
      <c r="VH17" s="133"/>
      <c r="VI17" s="133"/>
      <c r="VJ17" s="133"/>
      <c r="VK17" s="133"/>
      <c r="VL17" s="133"/>
      <c r="VM17" s="133"/>
      <c r="VN17" s="133"/>
      <c r="VO17" s="133"/>
      <c r="VP17" s="133"/>
      <c r="VQ17" s="133"/>
      <c r="VR17" s="133"/>
      <c r="VS17" s="133"/>
      <c r="VT17" s="133"/>
      <c r="VU17" s="133"/>
      <c r="VV17" s="133"/>
      <c r="VW17" s="133"/>
      <c r="VX17" s="133"/>
      <c r="VY17" s="133"/>
      <c r="VZ17" s="133"/>
      <c r="WA17" s="133"/>
      <c r="WB17" s="133"/>
      <c r="WC17" s="133"/>
      <c r="WD17" s="133"/>
      <c r="WE17" s="133"/>
      <c r="WF17" s="133"/>
      <c r="WG17" s="133"/>
      <c r="WH17" s="133"/>
      <c r="WI17" s="133"/>
      <c r="WJ17" s="133"/>
      <c r="WK17" s="133"/>
      <c r="WL17" s="133"/>
      <c r="WM17" s="133"/>
      <c r="WN17" s="133"/>
      <c r="WO17" s="133"/>
      <c r="WP17" s="133"/>
      <c r="WQ17" s="133"/>
      <c r="WR17" s="133"/>
      <c r="WS17" s="133"/>
      <c r="WT17" s="133"/>
      <c r="WU17" s="133"/>
      <c r="WV17" s="133"/>
      <c r="WW17" s="133"/>
      <c r="WX17" s="133"/>
      <c r="WY17" s="133"/>
      <c r="WZ17" s="133"/>
      <c r="XA17" s="133"/>
      <c r="XB17" s="133"/>
      <c r="XC17" s="133"/>
      <c r="XD17" s="133"/>
      <c r="XE17" s="133"/>
      <c r="XF17" s="133"/>
      <c r="XG17" s="133"/>
      <c r="XH17" s="133"/>
      <c r="XI17" s="133"/>
      <c r="XJ17" s="133"/>
      <c r="XK17" s="133"/>
      <c r="XL17" s="133"/>
      <c r="XM17" s="133"/>
      <c r="XN17" s="133"/>
      <c r="XO17" s="133"/>
      <c r="XP17" s="133"/>
      <c r="XQ17" s="133"/>
      <c r="XR17" s="133"/>
      <c r="XS17" s="133"/>
      <c r="XT17" s="133"/>
      <c r="XU17" s="133"/>
      <c r="XV17" s="133"/>
      <c r="XW17" s="133"/>
      <c r="XX17" s="133"/>
      <c r="XY17" s="133"/>
      <c r="XZ17" s="133"/>
      <c r="YA17" s="133"/>
      <c r="YB17" s="133"/>
      <c r="YC17" s="133"/>
      <c r="YD17" s="133"/>
      <c r="YE17" s="133"/>
      <c r="YF17" s="133"/>
      <c r="YG17" s="133"/>
      <c r="YH17" s="133"/>
      <c r="YI17" s="133"/>
      <c r="YJ17" s="133"/>
      <c r="YK17" s="133"/>
      <c r="YL17" s="133"/>
      <c r="YM17" s="133"/>
      <c r="YN17" s="133"/>
      <c r="YO17" s="133"/>
      <c r="YP17" s="133"/>
      <c r="YQ17" s="133"/>
      <c r="YR17" s="133"/>
      <c r="YS17" s="133"/>
      <c r="YT17" s="133"/>
      <c r="YU17" s="133"/>
      <c r="YV17" s="133"/>
      <c r="YW17" s="133"/>
      <c r="YX17" s="133"/>
      <c r="YY17" s="133"/>
      <c r="YZ17" s="133"/>
      <c r="ZA17" s="133"/>
      <c r="ZB17" s="133"/>
      <c r="ZC17" s="133"/>
      <c r="ZD17" s="133"/>
      <c r="ZE17" s="133"/>
      <c r="ZF17" s="133"/>
      <c r="ZG17" s="133"/>
      <c r="ZH17" s="133"/>
      <c r="ZI17" s="133"/>
      <c r="ZJ17" s="133"/>
      <c r="ZK17" s="133"/>
      <c r="ZL17" s="133"/>
      <c r="ZM17" s="133"/>
      <c r="ZN17" s="133"/>
      <c r="ZO17" s="133"/>
      <c r="ZP17" s="133"/>
      <c r="ZQ17" s="133"/>
      <c r="ZR17" s="133"/>
      <c r="ZS17" s="133"/>
      <c r="ZT17" s="133"/>
      <c r="ZU17" s="133"/>
      <c r="ZV17" s="133"/>
      <c r="ZW17" s="133"/>
      <c r="ZX17" s="133"/>
      <c r="ZY17" s="133"/>
      <c r="ZZ17" s="133"/>
      <c r="AAA17" s="133"/>
      <c r="AAB17" s="133"/>
      <c r="AAC17" s="133"/>
      <c r="AAD17" s="133"/>
      <c r="AAE17" s="133"/>
      <c r="AAF17" s="133"/>
      <c r="AAG17" s="133"/>
      <c r="AAH17" s="133"/>
      <c r="AAI17" s="133"/>
      <c r="AAJ17" s="133"/>
      <c r="AAK17" s="133"/>
      <c r="AAL17" s="133"/>
      <c r="AAM17" s="133"/>
      <c r="AAN17" s="133"/>
      <c r="AAO17" s="133"/>
      <c r="AAP17" s="133"/>
      <c r="AAQ17" s="133"/>
      <c r="AAR17" s="133"/>
      <c r="AAS17" s="133"/>
      <c r="AAT17" s="133"/>
      <c r="AAU17" s="133"/>
      <c r="AAV17" s="133"/>
      <c r="AAW17" s="133"/>
      <c r="AAX17" s="133"/>
      <c r="AAY17" s="133"/>
      <c r="AAZ17" s="133"/>
      <c r="ABA17" s="133"/>
      <c r="ABB17" s="133"/>
      <c r="ABC17" s="133"/>
      <c r="ABD17" s="133"/>
      <c r="ABE17" s="133"/>
      <c r="ABF17" s="133"/>
      <c r="ABG17" s="133"/>
      <c r="ABH17" s="133"/>
      <c r="ABI17" s="133"/>
      <c r="ABJ17" s="133"/>
      <c r="ABK17" s="133"/>
      <c r="ABL17" s="133"/>
      <c r="ABM17" s="133"/>
      <c r="ABN17" s="133"/>
      <c r="ABO17" s="133"/>
      <c r="ABP17" s="133"/>
      <c r="ABQ17" s="133"/>
      <c r="ABR17" s="133"/>
      <c r="ABS17" s="133"/>
      <c r="ABT17" s="133"/>
      <c r="ABU17" s="133"/>
      <c r="ABV17" s="133"/>
      <c r="ABW17" s="133"/>
      <c r="ABX17" s="133"/>
      <c r="ABY17" s="133"/>
      <c r="ABZ17" s="133"/>
      <c r="ACA17" s="133"/>
      <c r="ACB17" s="133"/>
      <c r="ACC17" s="133"/>
      <c r="ACD17" s="133"/>
      <c r="ACE17" s="133"/>
      <c r="ACF17" s="133"/>
      <c r="ACG17" s="133"/>
      <c r="ACH17" s="133"/>
      <c r="ACI17" s="133"/>
      <c r="ACJ17" s="133"/>
      <c r="ACK17" s="133"/>
      <c r="ACL17" s="133"/>
      <c r="ACM17" s="133"/>
      <c r="ACN17" s="133"/>
      <c r="ACO17" s="133"/>
      <c r="ACP17" s="133"/>
      <c r="ACQ17" s="133"/>
      <c r="ACR17" s="133"/>
      <c r="ACS17" s="133"/>
      <c r="ACT17" s="133"/>
      <c r="ACU17" s="133"/>
      <c r="ACV17" s="133"/>
      <c r="ACW17" s="133"/>
      <c r="ACX17" s="133"/>
      <c r="ACY17" s="133"/>
      <c r="ACZ17" s="133"/>
      <c r="ADA17" s="133"/>
      <c r="ADB17" s="133"/>
      <c r="ADC17" s="133"/>
      <c r="ADD17" s="133"/>
      <c r="ADE17" s="133"/>
      <c r="ADF17" s="133"/>
      <c r="ADG17" s="133"/>
      <c r="ADH17" s="133"/>
      <c r="ADI17" s="133"/>
      <c r="ADJ17" s="133"/>
      <c r="ADK17" s="133"/>
      <c r="ADL17" s="133"/>
      <c r="ADM17" s="133"/>
      <c r="ADN17" s="133"/>
      <c r="ADO17" s="133"/>
      <c r="ADP17" s="133"/>
      <c r="ADQ17" s="133"/>
      <c r="ADR17" s="133"/>
      <c r="ADS17" s="133"/>
      <c r="ADT17" s="133"/>
      <c r="ADU17" s="133"/>
      <c r="ADV17" s="133"/>
      <c r="ADW17" s="133"/>
      <c r="ADX17" s="133"/>
      <c r="ADY17" s="133"/>
      <c r="ADZ17" s="133"/>
      <c r="AEA17" s="133"/>
      <c r="AEB17" s="133"/>
      <c r="AEC17" s="133"/>
      <c r="AED17" s="133"/>
      <c r="AEE17" s="133"/>
      <c r="AEF17" s="133"/>
      <c r="AEG17" s="133"/>
      <c r="AEH17" s="133"/>
      <c r="AEI17" s="133"/>
      <c r="AEJ17" s="133"/>
      <c r="AEK17" s="133"/>
      <c r="AEL17" s="133"/>
      <c r="AEM17" s="133"/>
      <c r="AEN17" s="133"/>
      <c r="AEO17" s="133"/>
      <c r="AEP17" s="133"/>
      <c r="AEQ17" s="133"/>
      <c r="AER17" s="133"/>
      <c r="AES17" s="133"/>
      <c r="AET17" s="133"/>
      <c r="AEU17" s="133"/>
      <c r="AEV17" s="133"/>
      <c r="AEW17" s="133"/>
      <c r="AEX17" s="133"/>
      <c r="AEY17" s="133"/>
      <c r="AEZ17" s="133"/>
      <c r="AFA17" s="133"/>
      <c r="AFB17" s="133"/>
      <c r="AFC17" s="133"/>
      <c r="AFD17" s="133"/>
      <c r="AFE17" s="133"/>
      <c r="AFF17" s="133"/>
      <c r="AFG17" s="133"/>
      <c r="AFH17" s="133"/>
      <c r="AFI17" s="133"/>
      <c r="AFJ17" s="133"/>
      <c r="AFK17" s="133"/>
      <c r="AFL17" s="133"/>
      <c r="AFM17" s="133"/>
      <c r="AFN17" s="133"/>
      <c r="AFO17" s="133"/>
      <c r="AFP17" s="133"/>
      <c r="AFQ17" s="133"/>
      <c r="AFR17" s="133"/>
      <c r="AFS17" s="133"/>
      <c r="AFT17" s="133"/>
      <c r="AFU17" s="133"/>
      <c r="AFV17" s="133"/>
      <c r="AFW17" s="133"/>
      <c r="AFX17" s="133"/>
      <c r="AFY17" s="133"/>
      <c r="AFZ17" s="133"/>
      <c r="AGA17" s="133"/>
      <c r="AGB17" s="133"/>
      <c r="AGC17" s="133"/>
      <c r="AGD17" s="133"/>
      <c r="AGE17" s="133"/>
      <c r="AGF17" s="133"/>
      <c r="AGG17" s="133"/>
      <c r="AGH17" s="133"/>
      <c r="AGI17" s="133"/>
      <c r="AGJ17" s="133"/>
      <c r="AGK17" s="133"/>
      <c r="AGL17" s="133"/>
      <c r="AGM17" s="133"/>
      <c r="AGN17" s="133"/>
      <c r="AGO17" s="133"/>
      <c r="AGP17" s="133"/>
      <c r="AGQ17" s="133"/>
      <c r="AGR17" s="133"/>
      <c r="AGS17" s="133"/>
      <c r="AGT17" s="133"/>
      <c r="AGU17" s="133"/>
      <c r="AGV17" s="133"/>
      <c r="AGW17" s="133"/>
      <c r="AGX17" s="133"/>
      <c r="AGY17" s="133"/>
      <c r="AGZ17" s="133"/>
      <c r="AHA17" s="133"/>
      <c r="AHB17" s="133"/>
      <c r="AHC17" s="133"/>
      <c r="AHD17" s="133"/>
      <c r="AHE17" s="133"/>
      <c r="AHF17" s="133"/>
      <c r="AHG17" s="133"/>
      <c r="AHH17" s="133"/>
      <c r="AHI17" s="133"/>
      <c r="AHJ17" s="133"/>
      <c r="AHK17" s="133"/>
      <c r="AHL17" s="133"/>
      <c r="AHM17" s="133"/>
      <c r="AHN17" s="133"/>
      <c r="AHO17" s="133"/>
      <c r="AHP17" s="133"/>
      <c r="AHQ17" s="133"/>
      <c r="AHR17" s="133"/>
      <c r="AHS17" s="133"/>
      <c r="AHT17" s="133"/>
      <c r="AHU17" s="133"/>
      <c r="AHV17" s="133"/>
      <c r="AHW17" s="133"/>
      <c r="AHX17" s="133"/>
      <c r="AHY17" s="133"/>
      <c r="AHZ17" s="133"/>
      <c r="AIA17" s="133"/>
      <c r="AIB17" s="133"/>
      <c r="AIC17" s="133"/>
      <c r="AID17" s="133"/>
      <c r="AIE17" s="133"/>
      <c r="AIF17" s="133"/>
      <c r="AIG17" s="133"/>
      <c r="AIH17" s="133"/>
      <c r="AII17" s="133"/>
      <c r="AIJ17" s="133"/>
      <c r="AIK17" s="133"/>
      <c r="AIL17" s="133"/>
      <c r="AIM17" s="133"/>
      <c r="AIN17" s="133"/>
      <c r="AIO17" s="133"/>
      <c r="AIP17" s="133"/>
      <c r="AIQ17" s="133"/>
      <c r="AIR17" s="133"/>
      <c r="AIS17" s="133"/>
      <c r="AIT17" s="133"/>
      <c r="AIU17" s="133"/>
      <c r="AIV17" s="133"/>
      <c r="AIW17" s="133"/>
      <c r="AIX17" s="133"/>
      <c r="AIY17" s="133"/>
      <c r="AIZ17" s="133"/>
      <c r="AJA17" s="133"/>
      <c r="AJB17" s="133"/>
      <c r="AJC17" s="133"/>
      <c r="AJD17" s="133"/>
      <c r="AJE17" s="133"/>
      <c r="AJF17" s="133"/>
      <c r="AJG17" s="133"/>
      <c r="AJH17" s="133"/>
      <c r="AJI17" s="133"/>
      <c r="AJJ17" s="133"/>
      <c r="AJK17" s="133"/>
      <c r="AJL17" s="133"/>
      <c r="AJM17" s="133"/>
      <c r="AJN17" s="133"/>
      <c r="AJO17" s="133"/>
      <c r="AJP17" s="133"/>
      <c r="AJQ17" s="133"/>
      <c r="AJR17" s="133"/>
      <c r="AJS17" s="133"/>
      <c r="AJT17" s="133"/>
      <c r="AJU17" s="133"/>
      <c r="AJV17" s="133"/>
      <c r="AJW17" s="133"/>
      <c r="AJX17" s="133"/>
      <c r="AJY17" s="133"/>
      <c r="AJZ17" s="133"/>
      <c r="AKA17" s="133"/>
      <c r="AKB17" s="133"/>
      <c r="AKC17" s="133"/>
      <c r="AKD17" s="133"/>
      <c r="AKE17" s="133"/>
      <c r="AKF17" s="133"/>
      <c r="AKG17" s="133"/>
      <c r="AKH17" s="133"/>
      <c r="AKI17" s="133"/>
      <c r="AKJ17" s="133"/>
      <c r="AKK17" s="133"/>
      <c r="AKL17" s="133"/>
      <c r="AKM17" s="133"/>
      <c r="AKN17" s="133"/>
      <c r="AKO17" s="133"/>
      <c r="AKP17" s="133"/>
      <c r="AKQ17" s="133"/>
      <c r="AKR17" s="133"/>
      <c r="AKS17" s="133"/>
      <c r="AKT17" s="133"/>
      <c r="AKU17" s="133"/>
      <c r="AKV17" s="133"/>
      <c r="AKW17" s="133"/>
      <c r="AKX17" s="133"/>
      <c r="AKY17" s="133"/>
      <c r="AKZ17" s="133"/>
      <c r="ALA17" s="133"/>
      <c r="ALB17" s="133"/>
      <c r="ALC17" s="133"/>
      <c r="ALD17" s="133"/>
      <c r="ALE17" s="133"/>
    </row>
    <row r="18" spans="1:993" s="135" customFormat="1" ht="34.5" customHeight="1">
      <c r="A18" s="134">
        <v>0.06</v>
      </c>
      <c r="B18" s="138">
        <f>IF(LEN(C20)=0,"",1+ABS((LEN(C20)*A18)/LEN(LEN(C20))+A18))</f>
        <v>1.93</v>
      </c>
      <c r="C18" s="326" t="s">
        <v>2692</v>
      </c>
      <c r="D18" s="326"/>
      <c r="E18" s="326"/>
      <c r="F18" s="326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  <c r="IW18" s="133"/>
      <c r="IX18" s="133"/>
      <c r="IY18" s="133"/>
      <c r="IZ18" s="133"/>
      <c r="JA18" s="133"/>
      <c r="JB18" s="133"/>
      <c r="JC18" s="133"/>
      <c r="JD18" s="133"/>
      <c r="JE18" s="133"/>
      <c r="JF18" s="133"/>
      <c r="JG18" s="133"/>
      <c r="JH18" s="133"/>
      <c r="JI18" s="133"/>
      <c r="JJ18" s="133"/>
      <c r="JK18" s="133"/>
      <c r="JL18" s="133"/>
      <c r="JM18" s="133"/>
      <c r="JN18" s="133"/>
      <c r="JO18" s="133"/>
      <c r="JP18" s="133"/>
      <c r="JQ18" s="133"/>
      <c r="JR18" s="133"/>
      <c r="JS18" s="133"/>
      <c r="JT18" s="133"/>
      <c r="JU18" s="133"/>
      <c r="JV18" s="133"/>
      <c r="JW18" s="133"/>
      <c r="JX18" s="133"/>
      <c r="JY18" s="133"/>
      <c r="JZ18" s="133"/>
      <c r="KA18" s="133"/>
      <c r="KB18" s="133"/>
      <c r="KC18" s="133"/>
      <c r="KD18" s="133"/>
      <c r="KE18" s="133"/>
      <c r="KF18" s="133"/>
      <c r="KG18" s="133"/>
      <c r="KH18" s="133"/>
      <c r="KI18" s="133"/>
      <c r="KJ18" s="133"/>
      <c r="KK18" s="133"/>
      <c r="KL18" s="133"/>
      <c r="KM18" s="133"/>
      <c r="KN18" s="133"/>
      <c r="KO18" s="133"/>
      <c r="KP18" s="133"/>
      <c r="KQ18" s="133"/>
      <c r="KR18" s="133"/>
      <c r="KS18" s="133"/>
      <c r="KT18" s="133"/>
      <c r="KU18" s="133"/>
      <c r="KV18" s="133"/>
      <c r="KW18" s="133"/>
      <c r="KX18" s="133"/>
      <c r="KY18" s="133"/>
      <c r="KZ18" s="133"/>
      <c r="LA18" s="133"/>
      <c r="LB18" s="133"/>
      <c r="LC18" s="133"/>
      <c r="LD18" s="133"/>
      <c r="LE18" s="133"/>
      <c r="LF18" s="133"/>
      <c r="LG18" s="133"/>
      <c r="LH18" s="133"/>
      <c r="LI18" s="133"/>
      <c r="LJ18" s="133"/>
      <c r="LK18" s="133"/>
      <c r="LL18" s="133"/>
      <c r="LM18" s="133"/>
      <c r="LN18" s="133"/>
      <c r="LO18" s="133"/>
      <c r="LP18" s="133"/>
      <c r="LQ18" s="133"/>
      <c r="LR18" s="133"/>
      <c r="LS18" s="133"/>
      <c r="LT18" s="133"/>
      <c r="LU18" s="133"/>
      <c r="LV18" s="133"/>
      <c r="LW18" s="133"/>
      <c r="LX18" s="133"/>
      <c r="LY18" s="133"/>
      <c r="LZ18" s="133"/>
      <c r="MA18" s="133"/>
      <c r="MB18" s="133"/>
      <c r="MC18" s="133"/>
      <c r="MD18" s="133"/>
      <c r="ME18" s="133"/>
      <c r="MF18" s="133"/>
      <c r="MG18" s="133"/>
      <c r="MH18" s="133"/>
      <c r="MI18" s="133"/>
      <c r="MJ18" s="133"/>
      <c r="MK18" s="133"/>
      <c r="ML18" s="133"/>
      <c r="MM18" s="133"/>
      <c r="MN18" s="133"/>
      <c r="MO18" s="133"/>
      <c r="MP18" s="133"/>
      <c r="MQ18" s="133"/>
      <c r="MR18" s="133"/>
      <c r="MS18" s="133"/>
      <c r="MT18" s="133"/>
      <c r="MU18" s="133"/>
      <c r="MV18" s="133"/>
      <c r="MW18" s="133"/>
      <c r="MX18" s="133"/>
      <c r="MY18" s="133"/>
      <c r="MZ18" s="133"/>
      <c r="NA18" s="133"/>
      <c r="NB18" s="133"/>
      <c r="NC18" s="133"/>
      <c r="ND18" s="133"/>
      <c r="NE18" s="133"/>
      <c r="NF18" s="133"/>
      <c r="NG18" s="133"/>
      <c r="NH18" s="133"/>
      <c r="NI18" s="133"/>
      <c r="NJ18" s="133"/>
      <c r="NK18" s="133"/>
      <c r="NL18" s="133"/>
      <c r="NM18" s="133"/>
      <c r="NN18" s="133"/>
      <c r="NO18" s="133"/>
      <c r="NP18" s="133"/>
      <c r="NQ18" s="133"/>
      <c r="NR18" s="133"/>
      <c r="NS18" s="133"/>
      <c r="NT18" s="133"/>
      <c r="NU18" s="133"/>
      <c r="NV18" s="133"/>
      <c r="NW18" s="133"/>
      <c r="NX18" s="133"/>
      <c r="NY18" s="133"/>
      <c r="NZ18" s="133"/>
      <c r="OA18" s="133"/>
      <c r="OB18" s="133"/>
      <c r="OC18" s="133"/>
      <c r="OD18" s="133"/>
      <c r="OE18" s="133"/>
      <c r="OF18" s="133"/>
      <c r="OG18" s="133"/>
      <c r="OH18" s="133"/>
      <c r="OI18" s="133"/>
      <c r="OJ18" s="133"/>
      <c r="OK18" s="133"/>
      <c r="OL18" s="133"/>
      <c r="OM18" s="133"/>
      <c r="ON18" s="133"/>
      <c r="OO18" s="133"/>
      <c r="OP18" s="133"/>
      <c r="OQ18" s="133"/>
      <c r="OR18" s="133"/>
      <c r="OS18" s="133"/>
      <c r="OT18" s="133"/>
      <c r="OU18" s="133"/>
      <c r="OV18" s="133"/>
      <c r="OW18" s="133"/>
      <c r="OX18" s="133"/>
      <c r="OY18" s="133"/>
      <c r="OZ18" s="133"/>
      <c r="PA18" s="133"/>
      <c r="PB18" s="133"/>
      <c r="PC18" s="133"/>
      <c r="PD18" s="133"/>
      <c r="PE18" s="133"/>
      <c r="PF18" s="133"/>
      <c r="PG18" s="133"/>
      <c r="PH18" s="133"/>
      <c r="PI18" s="133"/>
      <c r="PJ18" s="133"/>
      <c r="PK18" s="133"/>
      <c r="PL18" s="133"/>
      <c r="PM18" s="133"/>
      <c r="PN18" s="133"/>
      <c r="PO18" s="133"/>
      <c r="PP18" s="133"/>
      <c r="PQ18" s="133"/>
      <c r="PR18" s="133"/>
      <c r="PS18" s="133"/>
      <c r="PT18" s="133"/>
      <c r="PU18" s="133"/>
      <c r="PV18" s="133"/>
      <c r="PW18" s="133"/>
      <c r="PX18" s="133"/>
      <c r="PY18" s="133"/>
      <c r="PZ18" s="133"/>
      <c r="QA18" s="133"/>
      <c r="QB18" s="133"/>
      <c r="QC18" s="133"/>
      <c r="QD18" s="133"/>
      <c r="QE18" s="133"/>
      <c r="QF18" s="133"/>
      <c r="QG18" s="133"/>
      <c r="QH18" s="133"/>
      <c r="QI18" s="133"/>
      <c r="QJ18" s="133"/>
      <c r="QK18" s="133"/>
      <c r="QL18" s="133"/>
      <c r="QM18" s="133"/>
      <c r="QN18" s="133"/>
      <c r="QO18" s="133"/>
      <c r="QP18" s="133"/>
      <c r="QQ18" s="133"/>
      <c r="QR18" s="133"/>
      <c r="QS18" s="133"/>
      <c r="QT18" s="133"/>
      <c r="QU18" s="133"/>
      <c r="QV18" s="133"/>
      <c r="QW18" s="133"/>
      <c r="QX18" s="133"/>
      <c r="QY18" s="133"/>
      <c r="QZ18" s="133"/>
      <c r="RA18" s="133"/>
      <c r="RB18" s="133"/>
      <c r="RC18" s="133"/>
      <c r="RD18" s="133"/>
      <c r="RE18" s="133"/>
      <c r="RF18" s="133"/>
      <c r="RG18" s="133"/>
      <c r="RH18" s="133"/>
      <c r="RI18" s="133"/>
      <c r="RJ18" s="133"/>
      <c r="RK18" s="133"/>
      <c r="RL18" s="133"/>
      <c r="RM18" s="133"/>
      <c r="RN18" s="133"/>
      <c r="RO18" s="133"/>
      <c r="RP18" s="133"/>
      <c r="RQ18" s="133"/>
      <c r="RR18" s="133"/>
      <c r="RS18" s="133"/>
      <c r="RT18" s="133"/>
      <c r="RU18" s="133"/>
      <c r="RV18" s="133"/>
      <c r="RW18" s="133"/>
      <c r="RX18" s="133"/>
      <c r="RY18" s="133"/>
      <c r="RZ18" s="133"/>
      <c r="SA18" s="133"/>
      <c r="SB18" s="133"/>
      <c r="SC18" s="133"/>
      <c r="SD18" s="133"/>
      <c r="SE18" s="133"/>
      <c r="SF18" s="133"/>
      <c r="SG18" s="133"/>
      <c r="SH18" s="133"/>
      <c r="SI18" s="133"/>
      <c r="SJ18" s="133"/>
      <c r="SK18" s="133"/>
      <c r="SL18" s="133"/>
      <c r="SM18" s="133"/>
      <c r="SN18" s="133"/>
      <c r="SO18" s="133"/>
      <c r="SP18" s="133"/>
      <c r="SQ18" s="133"/>
      <c r="SR18" s="133"/>
      <c r="SS18" s="133"/>
      <c r="ST18" s="133"/>
      <c r="SU18" s="133"/>
      <c r="SV18" s="133"/>
      <c r="SW18" s="133"/>
      <c r="SX18" s="133"/>
      <c r="SY18" s="133"/>
      <c r="SZ18" s="133"/>
      <c r="TA18" s="133"/>
      <c r="TB18" s="133"/>
      <c r="TC18" s="133"/>
      <c r="TD18" s="133"/>
      <c r="TE18" s="133"/>
      <c r="TF18" s="133"/>
      <c r="TG18" s="133"/>
      <c r="TH18" s="133"/>
      <c r="TI18" s="133"/>
      <c r="TJ18" s="133"/>
      <c r="TK18" s="133"/>
      <c r="TL18" s="133"/>
      <c r="TM18" s="133"/>
      <c r="TN18" s="133"/>
      <c r="TO18" s="133"/>
      <c r="TP18" s="133"/>
      <c r="TQ18" s="133"/>
      <c r="TR18" s="133"/>
      <c r="TS18" s="133"/>
      <c r="TT18" s="133"/>
      <c r="TU18" s="133"/>
      <c r="TV18" s="133"/>
      <c r="TW18" s="133"/>
      <c r="TX18" s="133"/>
      <c r="TY18" s="133"/>
      <c r="TZ18" s="133"/>
      <c r="UA18" s="133"/>
      <c r="UB18" s="133"/>
      <c r="UC18" s="133"/>
      <c r="UD18" s="133"/>
      <c r="UE18" s="133"/>
      <c r="UF18" s="133"/>
      <c r="UG18" s="133"/>
      <c r="UH18" s="133"/>
      <c r="UI18" s="133"/>
      <c r="UJ18" s="133"/>
      <c r="UK18" s="133"/>
      <c r="UL18" s="133"/>
      <c r="UM18" s="133"/>
      <c r="UN18" s="133"/>
      <c r="UO18" s="133"/>
      <c r="UP18" s="133"/>
      <c r="UQ18" s="133"/>
      <c r="UR18" s="133"/>
      <c r="US18" s="133"/>
      <c r="UT18" s="133"/>
      <c r="UU18" s="133"/>
      <c r="UV18" s="133"/>
      <c r="UW18" s="133"/>
      <c r="UX18" s="133"/>
      <c r="UY18" s="133"/>
      <c r="UZ18" s="133"/>
      <c r="VA18" s="133"/>
      <c r="VB18" s="133"/>
      <c r="VC18" s="133"/>
      <c r="VD18" s="133"/>
      <c r="VE18" s="133"/>
      <c r="VF18" s="133"/>
      <c r="VG18" s="133"/>
      <c r="VH18" s="133"/>
      <c r="VI18" s="133"/>
      <c r="VJ18" s="133"/>
      <c r="VK18" s="133"/>
      <c r="VL18" s="133"/>
      <c r="VM18" s="133"/>
      <c r="VN18" s="133"/>
      <c r="VO18" s="133"/>
      <c r="VP18" s="133"/>
      <c r="VQ18" s="133"/>
      <c r="VR18" s="133"/>
      <c r="VS18" s="133"/>
      <c r="VT18" s="133"/>
      <c r="VU18" s="133"/>
      <c r="VV18" s="133"/>
      <c r="VW18" s="133"/>
      <c r="VX18" s="133"/>
      <c r="VY18" s="133"/>
      <c r="VZ18" s="133"/>
      <c r="WA18" s="133"/>
      <c r="WB18" s="133"/>
      <c r="WC18" s="133"/>
      <c r="WD18" s="133"/>
      <c r="WE18" s="133"/>
      <c r="WF18" s="133"/>
      <c r="WG18" s="133"/>
      <c r="WH18" s="133"/>
      <c r="WI18" s="133"/>
      <c r="WJ18" s="133"/>
      <c r="WK18" s="133"/>
      <c r="WL18" s="133"/>
      <c r="WM18" s="133"/>
      <c r="WN18" s="133"/>
      <c r="WO18" s="133"/>
      <c r="WP18" s="133"/>
      <c r="WQ18" s="133"/>
      <c r="WR18" s="133"/>
      <c r="WS18" s="133"/>
      <c r="WT18" s="133"/>
      <c r="WU18" s="133"/>
      <c r="WV18" s="133"/>
      <c r="WW18" s="133"/>
      <c r="WX18" s="133"/>
      <c r="WY18" s="133"/>
      <c r="WZ18" s="133"/>
      <c r="XA18" s="133"/>
      <c r="XB18" s="133"/>
      <c r="XC18" s="133"/>
      <c r="XD18" s="133"/>
      <c r="XE18" s="133"/>
      <c r="XF18" s="133"/>
      <c r="XG18" s="133"/>
      <c r="XH18" s="133"/>
      <c r="XI18" s="133"/>
      <c r="XJ18" s="133"/>
      <c r="XK18" s="133"/>
      <c r="XL18" s="133"/>
      <c r="XM18" s="133"/>
      <c r="XN18" s="133"/>
      <c r="XO18" s="133"/>
      <c r="XP18" s="133"/>
      <c r="XQ18" s="133"/>
      <c r="XR18" s="133"/>
      <c r="XS18" s="133"/>
      <c r="XT18" s="133"/>
      <c r="XU18" s="133"/>
      <c r="XV18" s="133"/>
      <c r="XW18" s="133"/>
      <c r="XX18" s="133"/>
      <c r="XY18" s="133"/>
      <c r="XZ18" s="133"/>
      <c r="YA18" s="133"/>
      <c r="YB18" s="133"/>
      <c r="YC18" s="133"/>
      <c r="YD18" s="133"/>
      <c r="YE18" s="133"/>
      <c r="YF18" s="133"/>
      <c r="YG18" s="133"/>
      <c r="YH18" s="133"/>
      <c r="YI18" s="133"/>
      <c r="YJ18" s="133"/>
      <c r="YK18" s="133"/>
      <c r="YL18" s="133"/>
      <c r="YM18" s="133"/>
      <c r="YN18" s="133"/>
      <c r="YO18" s="133"/>
      <c r="YP18" s="133"/>
      <c r="YQ18" s="133"/>
      <c r="YR18" s="133"/>
      <c r="YS18" s="133"/>
      <c r="YT18" s="133"/>
      <c r="YU18" s="133"/>
      <c r="YV18" s="133"/>
      <c r="YW18" s="133"/>
      <c r="YX18" s="133"/>
      <c r="YY18" s="133"/>
      <c r="YZ18" s="133"/>
      <c r="ZA18" s="133"/>
      <c r="ZB18" s="133"/>
      <c r="ZC18" s="133"/>
      <c r="ZD18" s="133"/>
      <c r="ZE18" s="133"/>
      <c r="ZF18" s="133"/>
      <c r="ZG18" s="133"/>
      <c r="ZH18" s="133"/>
      <c r="ZI18" s="133"/>
      <c r="ZJ18" s="133"/>
      <c r="ZK18" s="133"/>
      <c r="ZL18" s="133"/>
      <c r="ZM18" s="133"/>
      <c r="ZN18" s="133"/>
      <c r="ZO18" s="133"/>
      <c r="ZP18" s="133"/>
      <c r="ZQ18" s="133"/>
      <c r="ZR18" s="133"/>
      <c r="ZS18" s="133"/>
      <c r="ZT18" s="133"/>
      <c r="ZU18" s="133"/>
      <c r="ZV18" s="133"/>
      <c r="ZW18" s="133"/>
      <c r="ZX18" s="133"/>
      <c r="ZY18" s="133"/>
      <c r="ZZ18" s="133"/>
      <c r="AAA18" s="133"/>
      <c r="AAB18" s="133"/>
      <c r="AAC18" s="133"/>
      <c r="AAD18" s="133"/>
      <c r="AAE18" s="133"/>
      <c r="AAF18" s="133"/>
      <c r="AAG18" s="133"/>
      <c r="AAH18" s="133"/>
      <c r="AAI18" s="133"/>
      <c r="AAJ18" s="133"/>
      <c r="AAK18" s="133"/>
      <c r="AAL18" s="133"/>
      <c r="AAM18" s="133"/>
      <c r="AAN18" s="133"/>
      <c r="AAO18" s="133"/>
      <c r="AAP18" s="133"/>
      <c r="AAQ18" s="133"/>
      <c r="AAR18" s="133"/>
      <c r="AAS18" s="133"/>
      <c r="AAT18" s="133"/>
      <c r="AAU18" s="133"/>
      <c r="AAV18" s="133"/>
      <c r="AAW18" s="133"/>
      <c r="AAX18" s="133"/>
      <c r="AAY18" s="133"/>
      <c r="AAZ18" s="133"/>
      <c r="ABA18" s="133"/>
      <c r="ABB18" s="133"/>
      <c r="ABC18" s="133"/>
      <c r="ABD18" s="133"/>
      <c r="ABE18" s="133"/>
      <c r="ABF18" s="133"/>
      <c r="ABG18" s="133"/>
      <c r="ABH18" s="133"/>
      <c r="ABI18" s="133"/>
      <c r="ABJ18" s="133"/>
      <c r="ABK18" s="133"/>
      <c r="ABL18" s="133"/>
      <c r="ABM18" s="133"/>
      <c r="ABN18" s="133"/>
      <c r="ABO18" s="133"/>
      <c r="ABP18" s="133"/>
      <c r="ABQ18" s="133"/>
      <c r="ABR18" s="133"/>
      <c r="ABS18" s="133"/>
      <c r="ABT18" s="133"/>
      <c r="ABU18" s="133"/>
      <c r="ABV18" s="133"/>
      <c r="ABW18" s="133"/>
      <c r="ABX18" s="133"/>
      <c r="ABY18" s="133"/>
      <c r="ABZ18" s="133"/>
      <c r="ACA18" s="133"/>
      <c r="ACB18" s="133"/>
      <c r="ACC18" s="133"/>
      <c r="ACD18" s="133"/>
      <c r="ACE18" s="133"/>
      <c r="ACF18" s="133"/>
      <c r="ACG18" s="133"/>
      <c r="ACH18" s="133"/>
      <c r="ACI18" s="133"/>
      <c r="ACJ18" s="133"/>
      <c r="ACK18" s="133"/>
      <c r="ACL18" s="133"/>
      <c r="ACM18" s="133"/>
      <c r="ACN18" s="133"/>
      <c r="ACO18" s="133"/>
      <c r="ACP18" s="133"/>
      <c r="ACQ18" s="133"/>
      <c r="ACR18" s="133"/>
      <c r="ACS18" s="133"/>
      <c r="ACT18" s="133"/>
      <c r="ACU18" s="133"/>
      <c r="ACV18" s="133"/>
      <c r="ACW18" s="133"/>
      <c r="ACX18" s="133"/>
      <c r="ACY18" s="133"/>
      <c r="ACZ18" s="133"/>
      <c r="ADA18" s="133"/>
      <c r="ADB18" s="133"/>
      <c r="ADC18" s="133"/>
      <c r="ADD18" s="133"/>
      <c r="ADE18" s="133"/>
      <c r="ADF18" s="133"/>
      <c r="ADG18" s="133"/>
      <c r="ADH18" s="133"/>
      <c r="ADI18" s="133"/>
      <c r="ADJ18" s="133"/>
      <c r="ADK18" s="133"/>
      <c r="ADL18" s="133"/>
      <c r="ADM18" s="133"/>
      <c r="ADN18" s="133"/>
      <c r="ADO18" s="133"/>
      <c r="ADP18" s="133"/>
      <c r="ADQ18" s="133"/>
      <c r="ADR18" s="133"/>
      <c r="ADS18" s="133"/>
      <c r="ADT18" s="133"/>
      <c r="ADU18" s="133"/>
      <c r="ADV18" s="133"/>
      <c r="ADW18" s="133"/>
      <c r="ADX18" s="133"/>
      <c r="ADY18" s="133"/>
      <c r="ADZ18" s="133"/>
      <c r="AEA18" s="133"/>
      <c r="AEB18" s="133"/>
      <c r="AEC18" s="133"/>
      <c r="AED18" s="133"/>
      <c r="AEE18" s="133"/>
      <c r="AEF18" s="133"/>
      <c r="AEG18" s="133"/>
      <c r="AEH18" s="133"/>
      <c r="AEI18" s="133"/>
      <c r="AEJ18" s="133"/>
      <c r="AEK18" s="133"/>
      <c r="AEL18" s="133"/>
      <c r="AEM18" s="133"/>
      <c r="AEN18" s="133"/>
      <c r="AEO18" s="133"/>
      <c r="AEP18" s="133"/>
      <c r="AEQ18" s="133"/>
      <c r="AER18" s="133"/>
      <c r="AES18" s="133"/>
      <c r="AET18" s="133"/>
      <c r="AEU18" s="133"/>
      <c r="AEV18" s="133"/>
      <c r="AEW18" s="133"/>
      <c r="AEX18" s="133"/>
      <c r="AEY18" s="133"/>
      <c r="AEZ18" s="133"/>
      <c r="AFA18" s="133"/>
      <c r="AFB18" s="133"/>
      <c r="AFC18" s="133"/>
      <c r="AFD18" s="133"/>
      <c r="AFE18" s="133"/>
      <c r="AFF18" s="133"/>
      <c r="AFG18" s="133"/>
      <c r="AFH18" s="133"/>
      <c r="AFI18" s="133"/>
      <c r="AFJ18" s="133"/>
      <c r="AFK18" s="133"/>
      <c r="AFL18" s="133"/>
      <c r="AFM18" s="133"/>
      <c r="AFN18" s="133"/>
      <c r="AFO18" s="133"/>
      <c r="AFP18" s="133"/>
      <c r="AFQ18" s="133"/>
      <c r="AFR18" s="133"/>
      <c r="AFS18" s="133"/>
      <c r="AFT18" s="133"/>
      <c r="AFU18" s="133"/>
      <c r="AFV18" s="133"/>
      <c r="AFW18" s="133"/>
      <c r="AFX18" s="133"/>
      <c r="AFY18" s="133"/>
      <c r="AFZ18" s="133"/>
      <c r="AGA18" s="133"/>
      <c r="AGB18" s="133"/>
      <c r="AGC18" s="133"/>
      <c r="AGD18" s="133"/>
      <c r="AGE18" s="133"/>
      <c r="AGF18" s="133"/>
      <c r="AGG18" s="133"/>
      <c r="AGH18" s="133"/>
      <c r="AGI18" s="133"/>
      <c r="AGJ18" s="133"/>
      <c r="AGK18" s="133"/>
      <c r="AGL18" s="133"/>
      <c r="AGM18" s="133"/>
      <c r="AGN18" s="133"/>
      <c r="AGO18" s="133"/>
      <c r="AGP18" s="133"/>
      <c r="AGQ18" s="133"/>
      <c r="AGR18" s="133"/>
      <c r="AGS18" s="133"/>
      <c r="AGT18" s="133"/>
      <c r="AGU18" s="133"/>
      <c r="AGV18" s="133"/>
      <c r="AGW18" s="133"/>
      <c r="AGX18" s="133"/>
      <c r="AGY18" s="133"/>
      <c r="AGZ18" s="133"/>
      <c r="AHA18" s="133"/>
      <c r="AHB18" s="133"/>
      <c r="AHC18" s="133"/>
      <c r="AHD18" s="133"/>
      <c r="AHE18" s="133"/>
      <c r="AHF18" s="133"/>
      <c r="AHG18" s="133"/>
      <c r="AHH18" s="133"/>
      <c r="AHI18" s="133"/>
      <c r="AHJ18" s="133"/>
      <c r="AHK18" s="133"/>
      <c r="AHL18" s="133"/>
      <c r="AHM18" s="133"/>
      <c r="AHN18" s="133"/>
      <c r="AHO18" s="133"/>
      <c r="AHP18" s="133"/>
      <c r="AHQ18" s="133"/>
      <c r="AHR18" s="133"/>
      <c r="AHS18" s="133"/>
      <c r="AHT18" s="133"/>
      <c r="AHU18" s="133"/>
      <c r="AHV18" s="133"/>
      <c r="AHW18" s="133"/>
      <c r="AHX18" s="133"/>
      <c r="AHY18" s="133"/>
      <c r="AHZ18" s="133"/>
      <c r="AIA18" s="133"/>
      <c r="AIB18" s="133"/>
      <c r="AIC18" s="133"/>
      <c r="AID18" s="133"/>
      <c r="AIE18" s="133"/>
      <c r="AIF18" s="133"/>
      <c r="AIG18" s="133"/>
      <c r="AIH18" s="133"/>
      <c r="AII18" s="133"/>
      <c r="AIJ18" s="133"/>
      <c r="AIK18" s="133"/>
      <c r="AIL18" s="133"/>
      <c r="AIM18" s="133"/>
      <c r="AIN18" s="133"/>
      <c r="AIO18" s="133"/>
      <c r="AIP18" s="133"/>
      <c r="AIQ18" s="133"/>
      <c r="AIR18" s="133"/>
      <c r="AIS18" s="133"/>
      <c r="AIT18" s="133"/>
      <c r="AIU18" s="133"/>
      <c r="AIV18" s="133"/>
      <c r="AIW18" s="133"/>
      <c r="AIX18" s="133"/>
      <c r="AIY18" s="133"/>
      <c r="AIZ18" s="133"/>
      <c r="AJA18" s="133"/>
      <c r="AJB18" s="133"/>
      <c r="AJC18" s="133"/>
      <c r="AJD18" s="133"/>
      <c r="AJE18" s="133"/>
      <c r="AJF18" s="133"/>
      <c r="AJG18" s="133"/>
      <c r="AJH18" s="133"/>
      <c r="AJI18" s="133"/>
      <c r="AJJ18" s="133"/>
      <c r="AJK18" s="133"/>
      <c r="AJL18" s="133"/>
      <c r="AJM18" s="133"/>
      <c r="AJN18" s="133"/>
      <c r="AJO18" s="133"/>
      <c r="AJP18" s="133"/>
      <c r="AJQ18" s="133"/>
      <c r="AJR18" s="133"/>
      <c r="AJS18" s="133"/>
      <c r="AJT18" s="133"/>
      <c r="AJU18" s="133"/>
      <c r="AJV18" s="133"/>
      <c r="AJW18" s="133"/>
      <c r="AJX18" s="133"/>
      <c r="AJY18" s="133"/>
      <c r="AJZ18" s="133"/>
      <c r="AKA18" s="133"/>
      <c r="AKB18" s="133"/>
      <c r="AKC18" s="133"/>
      <c r="AKD18" s="133"/>
      <c r="AKE18" s="133"/>
      <c r="AKF18" s="133"/>
      <c r="AKG18" s="133"/>
      <c r="AKH18" s="133"/>
      <c r="AKI18" s="133"/>
      <c r="AKJ18" s="133"/>
      <c r="AKK18" s="133"/>
      <c r="AKL18" s="133"/>
      <c r="AKM18" s="133"/>
      <c r="AKN18" s="133"/>
      <c r="AKO18" s="133"/>
      <c r="AKP18" s="133"/>
      <c r="AKQ18" s="133"/>
      <c r="AKR18" s="133"/>
      <c r="AKS18" s="133"/>
      <c r="AKT18" s="133"/>
      <c r="AKU18" s="133"/>
      <c r="AKV18" s="133"/>
      <c r="AKW18" s="133"/>
      <c r="AKX18" s="133"/>
      <c r="AKY18" s="133"/>
      <c r="AKZ18" s="133"/>
      <c r="ALA18" s="133"/>
      <c r="ALB18" s="133"/>
      <c r="ALC18" s="133"/>
      <c r="ALD18" s="133"/>
      <c r="ALE18" s="133"/>
    </row>
    <row r="19" spans="1:993" ht="30" customHeight="1">
      <c r="B19" s="110">
        <f>IF(ISERROR(ABS(LOG(ABS(SUM(B18)),EXP(3)))),"",ABS(LOG(ABS(SUM(B18)),EXP(3))))</f>
        <v>0.21917333430559804</v>
      </c>
      <c r="C19" s="342"/>
      <c r="D19" s="342"/>
      <c r="E19" s="342"/>
      <c r="F19" s="342"/>
    </row>
    <row r="20" spans="1:993" ht="30" customHeight="1">
      <c r="B20" s="112" t="str">
        <f>IF(ISERROR(IF(ISERROR(MID(B19,FIND(".",B19,1)+6,13)),MID(B19,FIND(",",B19,1)+6,13),MID(B19,FIND(".",B19,1)+6,13))),"",IF(ISERROR(MID(B19,FIND(".",B19,1)+6,13)),MID(B19,FIND(",",B19,1)+6,13),MID(B19,FIND(".",B19,1)+6,13)))</f>
        <v>3334305598</v>
      </c>
      <c r="C20" s="1616" t="str">
        <f>IF(OsnPodaci!A62="MSFI za MSP (mala i srednja pravna lica)","MSFI za MSP (mala i srednja pravna lica)",IF(OsnPodaci!A62="MRS/MSFI (velika pravna lica)","MRS/MSFI (velika pravna lica)",""))</f>
        <v>MRS/MSFI (velika pravna lica)</v>
      </c>
      <c r="D20" s="1616"/>
      <c r="E20" s="1616"/>
      <c r="F20" s="1616"/>
      <c r="G20" s="139"/>
      <c r="H20" s="139"/>
    </row>
    <row r="21" spans="1:993" ht="127.5" customHeight="1">
      <c r="B21" s="112"/>
      <c r="C21" s="321"/>
      <c r="D21" s="326"/>
      <c r="E21" s="319"/>
      <c r="F21" s="321"/>
      <c r="H21" s="139"/>
    </row>
    <row r="22" spans="1:993" s="142" customFormat="1" ht="38.25" customHeight="1">
      <c r="A22" s="140"/>
      <c r="B22" s="140"/>
      <c r="C22" s="334" t="str">
        <f>IF(OsnPodaci!D58="","",TEXT(OsnPodaci!D58,"dd.mm.yyyy."))</f>
        <v>28.02.2023.</v>
      </c>
      <c r="D22" s="344"/>
      <c r="E22" s="340"/>
      <c r="F22" s="335" t="str">
        <f>CONCATENATE(OsnPodaci!$A$31," ",OsnPodaci!$B$31,)</f>
        <v>Dženan Prevljak</v>
      </c>
      <c r="G22" s="141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  <c r="JF22" s="137"/>
      <c r="JG22" s="137"/>
      <c r="JH22" s="137"/>
      <c r="JI22" s="137"/>
      <c r="JJ22" s="137"/>
      <c r="JK22" s="137"/>
      <c r="JL22" s="137"/>
      <c r="JM22" s="137"/>
      <c r="JN22" s="137"/>
      <c r="JO22" s="137"/>
      <c r="JP22" s="137"/>
      <c r="JQ22" s="137"/>
      <c r="JR22" s="137"/>
      <c r="JS22" s="137"/>
      <c r="JT22" s="137"/>
      <c r="JU22" s="137"/>
      <c r="JV22" s="137"/>
      <c r="JW22" s="137"/>
      <c r="JX22" s="137"/>
      <c r="JY22" s="137"/>
      <c r="JZ22" s="137"/>
      <c r="KA22" s="137"/>
      <c r="KB22" s="137"/>
      <c r="KC22" s="137"/>
      <c r="KD22" s="137"/>
      <c r="KE22" s="137"/>
      <c r="KF22" s="137"/>
      <c r="KG22" s="137"/>
      <c r="KH22" s="137"/>
      <c r="KI22" s="137"/>
      <c r="KJ22" s="137"/>
      <c r="KK22" s="137"/>
      <c r="KL22" s="137"/>
      <c r="KM22" s="137"/>
      <c r="KN22" s="137"/>
      <c r="KO22" s="137"/>
      <c r="KP22" s="137"/>
      <c r="KQ22" s="137"/>
      <c r="KR22" s="137"/>
      <c r="KS22" s="137"/>
      <c r="KT22" s="137"/>
      <c r="KU22" s="137"/>
      <c r="KV22" s="137"/>
      <c r="KW22" s="137"/>
      <c r="KX22" s="137"/>
      <c r="KY22" s="137"/>
      <c r="KZ22" s="137"/>
      <c r="LA22" s="137"/>
      <c r="LB22" s="137"/>
      <c r="LC22" s="137"/>
      <c r="LD22" s="137"/>
      <c r="LE22" s="137"/>
      <c r="LF22" s="137"/>
      <c r="LG22" s="137"/>
      <c r="LH22" s="137"/>
      <c r="LI22" s="137"/>
      <c r="LJ22" s="137"/>
      <c r="LK22" s="137"/>
      <c r="LL22" s="137"/>
      <c r="LM22" s="137"/>
      <c r="LN22" s="137"/>
      <c r="LO22" s="137"/>
      <c r="LP22" s="137"/>
      <c r="LQ22" s="137"/>
      <c r="LR22" s="137"/>
      <c r="LS22" s="137"/>
      <c r="LT22" s="137"/>
      <c r="LU22" s="137"/>
      <c r="LV22" s="137"/>
      <c r="LW22" s="137"/>
      <c r="LX22" s="137"/>
      <c r="LY22" s="137"/>
      <c r="LZ22" s="137"/>
      <c r="MA22" s="137"/>
      <c r="MB22" s="137"/>
      <c r="MC22" s="137"/>
      <c r="MD22" s="137"/>
      <c r="ME22" s="137"/>
      <c r="MF22" s="137"/>
      <c r="MG22" s="137"/>
      <c r="MH22" s="137"/>
      <c r="MI22" s="137"/>
      <c r="MJ22" s="137"/>
      <c r="MK22" s="137"/>
      <c r="ML22" s="137"/>
      <c r="MM22" s="137"/>
      <c r="MN22" s="137"/>
      <c r="MO22" s="137"/>
      <c r="MP22" s="137"/>
      <c r="MQ22" s="137"/>
      <c r="MR22" s="137"/>
      <c r="MS22" s="137"/>
      <c r="MT22" s="137"/>
      <c r="MU22" s="137"/>
      <c r="MV22" s="137"/>
      <c r="MW22" s="137"/>
      <c r="MX22" s="137"/>
      <c r="MY22" s="137"/>
      <c r="MZ22" s="137"/>
      <c r="NA22" s="137"/>
      <c r="NB22" s="137"/>
      <c r="NC22" s="137"/>
      <c r="ND22" s="137"/>
      <c r="NE22" s="137"/>
      <c r="NF22" s="137"/>
      <c r="NG22" s="137"/>
      <c r="NH22" s="137"/>
      <c r="NI22" s="137"/>
      <c r="NJ22" s="137"/>
      <c r="NK22" s="137"/>
      <c r="NL22" s="137"/>
      <c r="NM22" s="137"/>
      <c r="NN22" s="137"/>
      <c r="NO22" s="137"/>
      <c r="NP22" s="137"/>
      <c r="NQ22" s="137"/>
      <c r="NR22" s="137"/>
      <c r="NS22" s="137"/>
      <c r="NT22" s="137"/>
      <c r="NU22" s="137"/>
      <c r="NV22" s="137"/>
      <c r="NW22" s="137"/>
      <c r="NX22" s="137"/>
      <c r="NY22" s="137"/>
      <c r="NZ22" s="137"/>
      <c r="OA22" s="137"/>
      <c r="OB22" s="137"/>
      <c r="OC22" s="137"/>
      <c r="OD22" s="137"/>
      <c r="OE22" s="137"/>
      <c r="OF22" s="137"/>
      <c r="OG22" s="137"/>
      <c r="OH22" s="137"/>
      <c r="OI22" s="137"/>
      <c r="OJ22" s="137"/>
      <c r="OK22" s="137"/>
      <c r="OL22" s="137"/>
      <c r="OM22" s="137"/>
      <c r="ON22" s="137"/>
      <c r="OO22" s="137"/>
      <c r="OP22" s="137"/>
      <c r="OQ22" s="137"/>
      <c r="OR22" s="137"/>
      <c r="OS22" s="137"/>
      <c r="OT22" s="137"/>
      <c r="OU22" s="137"/>
      <c r="OV22" s="137"/>
      <c r="OW22" s="137"/>
      <c r="OX22" s="137"/>
      <c r="OY22" s="137"/>
      <c r="OZ22" s="137"/>
      <c r="PA22" s="137"/>
      <c r="PB22" s="137"/>
      <c r="PC22" s="137"/>
      <c r="PD22" s="137"/>
      <c r="PE22" s="137"/>
      <c r="PF22" s="137"/>
      <c r="PG22" s="137"/>
      <c r="PH22" s="137"/>
      <c r="PI22" s="137"/>
      <c r="PJ22" s="137"/>
      <c r="PK22" s="137"/>
      <c r="PL22" s="137"/>
      <c r="PM22" s="137"/>
      <c r="PN22" s="137"/>
      <c r="PO22" s="137"/>
      <c r="PP22" s="137"/>
      <c r="PQ22" s="137"/>
      <c r="PR22" s="137"/>
      <c r="PS22" s="137"/>
      <c r="PT22" s="137"/>
      <c r="PU22" s="137"/>
      <c r="PV22" s="137"/>
      <c r="PW22" s="137"/>
      <c r="PX22" s="137"/>
      <c r="PY22" s="137"/>
      <c r="PZ22" s="137"/>
      <c r="QA22" s="137"/>
      <c r="QB22" s="137"/>
      <c r="QC22" s="137"/>
      <c r="QD22" s="137"/>
      <c r="QE22" s="137"/>
      <c r="QF22" s="137"/>
      <c r="QG22" s="137"/>
      <c r="QH22" s="137"/>
      <c r="QI22" s="137"/>
      <c r="QJ22" s="137"/>
      <c r="QK22" s="137"/>
      <c r="QL22" s="137"/>
      <c r="QM22" s="137"/>
      <c r="QN22" s="137"/>
      <c r="QO22" s="137"/>
      <c r="QP22" s="137"/>
      <c r="QQ22" s="137"/>
      <c r="QR22" s="137"/>
      <c r="QS22" s="137"/>
      <c r="QT22" s="137"/>
      <c r="QU22" s="137"/>
      <c r="QV22" s="137"/>
      <c r="QW22" s="137"/>
      <c r="QX22" s="137"/>
      <c r="QY22" s="137"/>
      <c r="QZ22" s="137"/>
      <c r="RA22" s="137"/>
      <c r="RB22" s="137"/>
      <c r="RC22" s="137"/>
      <c r="RD22" s="137"/>
      <c r="RE22" s="137"/>
      <c r="RF22" s="137"/>
      <c r="RG22" s="137"/>
      <c r="RH22" s="137"/>
      <c r="RI22" s="137"/>
      <c r="RJ22" s="137"/>
      <c r="RK22" s="137"/>
      <c r="RL22" s="137"/>
      <c r="RM22" s="137"/>
      <c r="RN22" s="137"/>
      <c r="RO22" s="137"/>
      <c r="RP22" s="137"/>
      <c r="RQ22" s="137"/>
      <c r="RR22" s="137"/>
      <c r="RS22" s="137"/>
      <c r="RT22" s="137"/>
      <c r="RU22" s="137"/>
      <c r="RV22" s="137"/>
      <c r="RW22" s="137"/>
      <c r="RX22" s="137"/>
      <c r="RY22" s="137"/>
      <c r="RZ22" s="137"/>
      <c r="SA22" s="137"/>
      <c r="SB22" s="137"/>
      <c r="SC22" s="137"/>
      <c r="SD22" s="137"/>
      <c r="SE22" s="137"/>
      <c r="SF22" s="137"/>
      <c r="SG22" s="137"/>
      <c r="SH22" s="137"/>
      <c r="SI22" s="137"/>
      <c r="SJ22" s="137"/>
      <c r="SK22" s="137"/>
      <c r="SL22" s="137"/>
      <c r="SM22" s="137"/>
      <c r="SN22" s="137"/>
      <c r="SO22" s="137"/>
      <c r="SP22" s="137"/>
      <c r="SQ22" s="137"/>
      <c r="SR22" s="137"/>
      <c r="SS22" s="137"/>
      <c r="ST22" s="137"/>
      <c r="SU22" s="137"/>
      <c r="SV22" s="137"/>
      <c r="SW22" s="137"/>
      <c r="SX22" s="137"/>
      <c r="SY22" s="137"/>
      <c r="SZ22" s="137"/>
      <c r="TA22" s="137"/>
      <c r="TB22" s="137"/>
      <c r="TC22" s="137"/>
      <c r="TD22" s="137"/>
      <c r="TE22" s="137"/>
      <c r="TF22" s="137"/>
      <c r="TG22" s="137"/>
      <c r="TH22" s="137"/>
      <c r="TI22" s="137"/>
      <c r="TJ22" s="137"/>
      <c r="TK22" s="137"/>
      <c r="TL22" s="137"/>
      <c r="TM22" s="137"/>
      <c r="TN22" s="137"/>
      <c r="TO22" s="137"/>
      <c r="TP22" s="137"/>
      <c r="TQ22" s="137"/>
      <c r="TR22" s="137"/>
      <c r="TS22" s="137"/>
      <c r="TT22" s="137"/>
      <c r="TU22" s="137"/>
      <c r="TV22" s="137"/>
      <c r="TW22" s="137"/>
      <c r="TX22" s="137"/>
      <c r="TY22" s="137"/>
      <c r="TZ22" s="137"/>
      <c r="UA22" s="137"/>
      <c r="UB22" s="137"/>
      <c r="UC22" s="137"/>
      <c r="UD22" s="137"/>
      <c r="UE22" s="137"/>
      <c r="UF22" s="137"/>
      <c r="UG22" s="137"/>
      <c r="UH22" s="137"/>
      <c r="UI22" s="137"/>
      <c r="UJ22" s="137"/>
      <c r="UK22" s="137"/>
      <c r="UL22" s="137"/>
      <c r="UM22" s="137"/>
      <c r="UN22" s="137"/>
      <c r="UO22" s="137"/>
      <c r="UP22" s="137"/>
      <c r="UQ22" s="137"/>
      <c r="UR22" s="137"/>
      <c r="US22" s="137"/>
      <c r="UT22" s="137"/>
      <c r="UU22" s="137"/>
      <c r="UV22" s="137"/>
      <c r="UW22" s="137"/>
      <c r="UX22" s="137"/>
      <c r="UY22" s="137"/>
      <c r="UZ22" s="137"/>
      <c r="VA22" s="137"/>
      <c r="VB22" s="137"/>
      <c r="VC22" s="137"/>
      <c r="VD22" s="137"/>
      <c r="VE22" s="137"/>
      <c r="VF22" s="137"/>
      <c r="VG22" s="137"/>
      <c r="VH22" s="137"/>
      <c r="VI22" s="137"/>
      <c r="VJ22" s="137"/>
      <c r="VK22" s="137"/>
      <c r="VL22" s="137"/>
      <c r="VM22" s="137"/>
      <c r="VN22" s="137"/>
      <c r="VO22" s="137"/>
      <c r="VP22" s="137"/>
      <c r="VQ22" s="137"/>
      <c r="VR22" s="137"/>
      <c r="VS22" s="137"/>
      <c r="VT22" s="137"/>
      <c r="VU22" s="137"/>
      <c r="VV22" s="137"/>
      <c r="VW22" s="137"/>
      <c r="VX22" s="137"/>
      <c r="VY22" s="137"/>
      <c r="VZ22" s="137"/>
      <c r="WA22" s="137"/>
      <c r="WB22" s="137"/>
      <c r="WC22" s="137"/>
      <c r="WD22" s="137"/>
      <c r="WE22" s="137"/>
      <c r="WF22" s="137"/>
      <c r="WG22" s="137"/>
      <c r="WH22" s="137"/>
      <c r="WI22" s="137"/>
      <c r="WJ22" s="137"/>
      <c r="WK22" s="137"/>
      <c r="WL22" s="137"/>
      <c r="WM22" s="137"/>
      <c r="WN22" s="137"/>
      <c r="WO22" s="137"/>
      <c r="WP22" s="137"/>
      <c r="WQ22" s="137"/>
      <c r="WR22" s="137"/>
      <c r="WS22" s="137"/>
      <c r="WT22" s="137"/>
      <c r="WU22" s="137"/>
      <c r="WV22" s="137"/>
      <c r="WW22" s="137"/>
      <c r="WX22" s="137"/>
      <c r="WY22" s="137"/>
      <c r="WZ22" s="137"/>
      <c r="XA22" s="137"/>
      <c r="XB22" s="137"/>
      <c r="XC22" s="137"/>
      <c r="XD22" s="137"/>
      <c r="XE22" s="137"/>
      <c r="XF22" s="137"/>
      <c r="XG22" s="137"/>
      <c r="XH22" s="137"/>
      <c r="XI22" s="137"/>
      <c r="XJ22" s="137"/>
      <c r="XK22" s="137"/>
      <c r="XL22" s="137"/>
      <c r="XM22" s="137"/>
      <c r="XN22" s="137"/>
      <c r="XO22" s="137"/>
      <c r="XP22" s="137"/>
      <c r="XQ22" s="137"/>
      <c r="XR22" s="137"/>
      <c r="XS22" s="137"/>
      <c r="XT22" s="137"/>
      <c r="XU22" s="137"/>
      <c r="XV22" s="137"/>
      <c r="XW22" s="137"/>
      <c r="XX22" s="137"/>
      <c r="XY22" s="137"/>
      <c r="XZ22" s="137"/>
      <c r="YA22" s="137"/>
      <c r="YB22" s="137"/>
      <c r="YC22" s="137"/>
      <c r="YD22" s="137"/>
      <c r="YE22" s="137"/>
      <c r="YF22" s="137"/>
      <c r="YG22" s="137"/>
      <c r="YH22" s="137"/>
      <c r="YI22" s="137"/>
      <c r="YJ22" s="137"/>
      <c r="YK22" s="137"/>
      <c r="YL22" s="137"/>
      <c r="YM22" s="137"/>
      <c r="YN22" s="137"/>
      <c r="YO22" s="137"/>
      <c r="YP22" s="137"/>
      <c r="YQ22" s="137"/>
      <c r="YR22" s="137"/>
      <c r="YS22" s="137"/>
      <c r="YT22" s="137"/>
      <c r="YU22" s="137"/>
      <c r="YV22" s="137"/>
      <c r="YW22" s="137"/>
      <c r="YX22" s="137"/>
      <c r="YY22" s="137"/>
      <c r="YZ22" s="137"/>
      <c r="ZA22" s="137"/>
      <c r="ZB22" s="137"/>
      <c r="ZC22" s="137"/>
      <c r="ZD22" s="137"/>
      <c r="ZE22" s="137"/>
      <c r="ZF22" s="137"/>
      <c r="ZG22" s="137"/>
      <c r="ZH22" s="137"/>
      <c r="ZI22" s="137"/>
      <c r="ZJ22" s="137"/>
      <c r="ZK22" s="137"/>
      <c r="ZL22" s="137"/>
      <c r="ZM22" s="137"/>
      <c r="ZN22" s="137"/>
      <c r="ZO22" s="137"/>
      <c r="ZP22" s="137"/>
      <c r="ZQ22" s="137"/>
      <c r="ZR22" s="137"/>
      <c r="ZS22" s="137"/>
      <c r="ZT22" s="137"/>
      <c r="ZU22" s="137"/>
      <c r="ZV22" s="137"/>
      <c r="ZW22" s="137"/>
      <c r="ZX22" s="137"/>
      <c r="ZY22" s="137"/>
      <c r="ZZ22" s="137"/>
      <c r="AAA22" s="137"/>
      <c r="AAB22" s="137"/>
      <c r="AAC22" s="137"/>
      <c r="AAD22" s="137"/>
      <c r="AAE22" s="137"/>
      <c r="AAF22" s="137"/>
      <c r="AAG22" s="137"/>
      <c r="AAH22" s="137"/>
      <c r="AAI22" s="137"/>
      <c r="AAJ22" s="137"/>
      <c r="AAK22" s="137"/>
      <c r="AAL22" s="137"/>
      <c r="AAM22" s="137"/>
      <c r="AAN22" s="137"/>
      <c r="AAO22" s="137"/>
      <c r="AAP22" s="137"/>
      <c r="AAQ22" s="137"/>
      <c r="AAR22" s="137"/>
      <c r="AAS22" s="137"/>
      <c r="AAT22" s="137"/>
      <c r="AAU22" s="137"/>
      <c r="AAV22" s="137"/>
      <c r="AAW22" s="137"/>
      <c r="AAX22" s="137"/>
      <c r="AAY22" s="137"/>
      <c r="AAZ22" s="137"/>
      <c r="ABA22" s="137"/>
      <c r="ABB22" s="137"/>
      <c r="ABC22" s="137"/>
      <c r="ABD22" s="137"/>
      <c r="ABE22" s="137"/>
      <c r="ABF22" s="137"/>
      <c r="ABG22" s="137"/>
      <c r="ABH22" s="137"/>
      <c r="ABI22" s="137"/>
      <c r="ABJ22" s="137"/>
      <c r="ABK22" s="137"/>
      <c r="ABL22" s="137"/>
      <c r="ABM22" s="137"/>
      <c r="ABN22" s="137"/>
      <c r="ABO22" s="137"/>
      <c r="ABP22" s="137"/>
      <c r="ABQ22" s="137"/>
      <c r="ABR22" s="137"/>
      <c r="ABS22" s="137"/>
      <c r="ABT22" s="137"/>
      <c r="ABU22" s="137"/>
      <c r="ABV22" s="137"/>
      <c r="ABW22" s="137"/>
      <c r="ABX22" s="137"/>
      <c r="ABY22" s="137"/>
      <c r="ABZ22" s="137"/>
      <c r="ACA22" s="137"/>
      <c r="ACB22" s="137"/>
      <c r="ACC22" s="137"/>
      <c r="ACD22" s="137"/>
      <c r="ACE22" s="137"/>
      <c r="ACF22" s="137"/>
      <c r="ACG22" s="137"/>
      <c r="ACH22" s="137"/>
      <c r="ACI22" s="137"/>
      <c r="ACJ22" s="137"/>
      <c r="ACK22" s="137"/>
      <c r="ACL22" s="137"/>
      <c r="ACM22" s="137"/>
      <c r="ACN22" s="137"/>
      <c r="ACO22" s="137"/>
      <c r="ACP22" s="137"/>
      <c r="ACQ22" s="137"/>
      <c r="ACR22" s="137"/>
      <c r="ACS22" s="137"/>
      <c r="ACT22" s="137"/>
      <c r="ACU22" s="137"/>
      <c r="ACV22" s="137"/>
      <c r="ACW22" s="137"/>
      <c r="ACX22" s="137"/>
      <c r="ACY22" s="137"/>
      <c r="ACZ22" s="137"/>
      <c r="ADA22" s="137"/>
      <c r="ADB22" s="137"/>
      <c r="ADC22" s="137"/>
      <c r="ADD22" s="137"/>
      <c r="ADE22" s="137"/>
      <c r="ADF22" s="137"/>
      <c r="ADG22" s="137"/>
      <c r="ADH22" s="137"/>
      <c r="ADI22" s="137"/>
      <c r="ADJ22" s="137"/>
      <c r="ADK22" s="137"/>
      <c r="ADL22" s="137"/>
      <c r="ADM22" s="137"/>
      <c r="ADN22" s="137"/>
      <c r="ADO22" s="137"/>
      <c r="ADP22" s="137"/>
      <c r="ADQ22" s="137"/>
      <c r="ADR22" s="137"/>
      <c r="ADS22" s="137"/>
      <c r="ADT22" s="137"/>
      <c r="ADU22" s="137"/>
      <c r="ADV22" s="137"/>
      <c r="ADW22" s="137"/>
      <c r="ADX22" s="137"/>
      <c r="ADY22" s="137"/>
      <c r="ADZ22" s="137"/>
      <c r="AEA22" s="137"/>
      <c r="AEB22" s="137"/>
      <c r="AEC22" s="137"/>
      <c r="AED22" s="137"/>
      <c r="AEE22" s="137"/>
      <c r="AEF22" s="137"/>
      <c r="AEG22" s="137"/>
      <c r="AEH22" s="137"/>
      <c r="AEI22" s="137"/>
      <c r="AEJ22" s="137"/>
      <c r="AEK22" s="137"/>
      <c r="AEL22" s="137"/>
      <c r="AEM22" s="137"/>
      <c r="AEN22" s="137"/>
      <c r="AEO22" s="137"/>
      <c r="AEP22" s="137"/>
      <c r="AEQ22" s="137"/>
      <c r="AER22" s="137"/>
      <c r="AES22" s="137"/>
      <c r="AET22" s="137"/>
      <c r="AEU22" s="137"/>
      <c r="AEV22" s="137"/>
      <c r="AEW22" s="137"/>
      <c r="AEX22" s="137"/>
      <c r="AEY22" s="137"/>
      <c r="AEZ22" s="137"/>
      <c r="AFA22" s="137"/>
      <c r="AFB22" s="137"/>
      <c r="AFC22" s="137"/>
      <c r="AFD22" s="137"/>
      <c r="AFE22" s="137"/>
      <c r="AFF22" s="137"/>
      <c r="AFG22" s="137"/>
      <c r="AFH22" s="137"/>
      <c r="AFI22" s="137"/>
      <c r="AFJ22" s="137"/>
      <c r="AFK22" s="137"/>
      <c r="AFL22" s="137"/>
      <c r="AFM22" s="137"/>
      <c r="AFN22" s="137"/>
      <c r="AFO22" s="137"/>
      <c r="AFP22" s="137"/>
      <c r="AFQ22" s="137"/>
      <c r="AFR22" s="137"/>
      <c r="AFS22" s="137"/>
      <c r="AFT22" s="137"/>
      <c r="AFU22" s="137"/>
      <c r="AFV22" s="137"/>
      <c r="AFW22" s="137"/>
      <c r="AFX22" s="137"/>
      <c r="AFY22" s="137"/>
      <c r="AFZ22" s="137"/>
      <c r="AGA22" s="137"/>
      <c r="AGB22" s="137"/>
      <c r="AGC22" s="137"/>
      <c r="AGD22" s="137"/>
      <c r="AGE22" s="137"/>
      <c r="AGF22" s="137"/>
      <c r="AGG22" s="137"/>
      <c r="AGH22" s="137"/>
      <c r="AGI22" s="137"/>
      <c r="AGJ22" s="137"/>
      <c r="AGK22" s="137"/>
      <c r="AGL22" s="137"/>
      <c r="AGM22" s="137"/>
      <c r="AGN22" s="137"/>
      <c r="AGO22" s="137"/>
      <c r="AGP22" s="137"/>
      <c r="AGQ22" s="137"/>
      <c r="AGR22" s="137"/>
      <c r="AGS22" s="137"/>
      <c r="AGT22" s="137"/>
      <c r="AGU22" s="137"/>
      <c r="AGV22" s="137"/>
      <c r="AGW22" s="137"/>
      <c r="AGX22" s="137"/>
      <c r="AGY22" s="137"/>
      <c r="AGZ22" s="137"/>
      <c r="AHA22" s="137"/>
      <c r="AHB22" s="137"/>
      <c r="AHC22" s="137"/>
      <c r="AHD22" s="137"/>
      <c r="AHE22" s="137"/>
      <c r="AHF22" s="137"/>
      <c r="AHG22" s="137"/>
      <c r="AHH22" s="137"/>
      <c r="AHI22" s="137"/>
      <c r="AHJ22" s="137"/>
      <c r="AHK22" s="137"/>
      <c r="AHL22" s="137"/>
      <c r="AHM22" s="137"/>
      <c r="AHN22" s="137"/>
      <c r="AHO22" s="137"/>
      <c r="AHP22" s="137"/>
      <c r="AHQ22" s="137"/>
      <c r="AHR22" s="137"/>
      <c r="AHS22" s="137"/>
      <c r="AHT22" s="137"/>
      <c r="AHU22" s="137"/>
      <c r="AHV22" s="137"/>
      <c r="AHW22" s="137"/>
      <c r="AHX22" s="137"/>
      <c r="AHY22" s="137"/>
      <c r="AHZ22" s="137"/>
      <c r="AIA22" s="137"/>
      <c r="AIB22" s="137"/>
      <c r="AIC22" s="137"/>
      <c r="AID22" s="137"/>
      <c r="AIE22" s="137"/>
      <c r="AIF22" s="137"/>
      <c r="AIG22" s="137"/>
      <c r="AIH22" s="137"/>
      <c r="AII22" s="137"/>
      <c r="AIJ22" s="137"/>
      <c r="AIK22" s="137"/>
      <c r="AIL22" s="137"/>
      <c r="AIM22" s="137"/>
      <c r="AIN22" s="137"/>
      <c r="AIO22" s="137"/>
      <c r="AIP22" s="137"/>
      <c r="AIQ22" s="137"/>
      <c r="AIR22" s="137"/>
      <c r="AIS22" s="137"/>
      <c r="AIT22" s="137"/>
      <c r="AIU22" s="137"/>
      <c r="AIV22" s="137"/>
      <c r="AIW22" s="137"/>
      <c r="AIX22" s="137"/>
      <c r="AIY22" s="137"/>
      <c r="AIZ22" s="137"/>
      <c r="AJA22" s="137"/>
      <c r="AJB22" s="137"/>
      <c r="AJC22" s="137"/>
      <c r="AJD22" s="137"/>
      <c r="AJE22" s="137"/>
      <c r="AJF22" s="137"/>
      <c r="AJG22" s="137"/>
      <c r="AJH22" s="137"/>
      <c r="AJI22" s="137"/>
      <c r="AJJ22" s="137"/>
      <c r="AJK22" s="137"/>
      <c r="AJL22" s="137"/>
      <c r="AJM22" s="137"/>
      <c r="AJN22" s="137"/>
      <c r="AJO22" s="137"/>
      <c r="AJP22" s="137"/>
      <c r="AJQ22" s="137"/>
      <c r="AJR22" s="137"/>
      <c r="AJS22" s="137"/>
      <c r="AJT22" s="137"/>
      <c r="AJU22" s="137"/>
      <c r="AJV22" s="137"/>
      <c r="AJW22" s="137"/>
      <c r="AJX22" s="137"/>
      <c r="AJY22" s="137"/>
      <c r="AJZ22" s="137"/>
      <c r="AKA22" s="137"/>
      <c r="AKB22" s="137"/>
      <c r="AKC22" s="137"/>
      <c r="AKD22" s="137"/>
      <c r="AKE22" s="137"/>
      <c r="AKF22" s="137"/>
      <c r="AKG22" s="137"/>
      <c r="AKH22" s="137"/>
      <c r="AKI22" s="137"/>
      <c r="AKJ22" s="137"/>
      <c r="AKK22" s="137"/>
      <c r="AKL22" s="137"/>
      <c r="AKM22" s="137"/>
      <c r="AKN22" s="137"/>
      <c r="AKO22" s="137"/>
      <c r="AKP22" s="137"/>
      <c r="AKQ22" s="137"/>
      <c r="AKR22" s="137"/>
      <c r="AKS22" s="137"/>
      <c r="AKT22" s="137"/>
      <c r="AKU22" s="137"/>
      <c r="AKV22" s="137"/>
      <c r="AKW22" s="137"/>
      <c r="AKX22" s="137"/>
      <c r="AKY22" s="137"/>
      <c r="AKZ22" s="137"/>
      <c r="ALA22" s="137"/>
      <c r="ALB22" s="137"/>
      <c r="ALC22" s="137"/>
      <c r="ALD22" s="137"/>
      <c r="ALE22" s="137"/>
    </row>
    <row r="23" spans="1:993" s="135" customFormat="1" ht="37.5" customHeight="1">
      <c r="A23" s="134"/>
      <c r="B23" s="134"/>
      <c r="C23" s="786" t="s">
        <v>2614</v>
      </c>
      <c r="D23" s="343"/>
      <c r="F23" s="787" t="s">
        <v>1951</v>
      </c>
      <c r="G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  <c r="IW23" s="133"/>
      <c r="IX23" s="133"/>
      <c r="IY23" s="133"/>
      <c r="IZ23" s="133"/>
      <c r="JA23" s="133"/>
      <c r="JB23" s="133"/>
      <c r="JC23" s="133"/>
      <c r="JD23" s="133"/>
      <c r="JE23" s="133"/>
      <c r="JF23" s="133"/>
      <c r="JG23" s="133"/>
      <c r="JH23" s="133"/>
      <c r="JI23" s="133"/>
      <c r="JJ23" s="133"/>
      <c r="JK23" s="133"/>
      <c r="JL23" s="133"/>
      <c r="JM23" s="133"/>
      <c r="JN23" s="133"/>
      <c r="JO23" s="133"/>
      <c r="JP23" s="133"/>
      <c r="JQ23" s="133"/>
      <c r="JR23" s="133"/>
      <c r="JS23" s="133"/>
      <c r="JT23" s="133"/>
      <c r="JU23" s="133"/>
      <c r="JV23" s="133"/>
      <c r="JW23" s="133"/>
      <c r="JX23" s="133"/>
      <c r="JY23" s="133"/>
      <c r="JZ23" s="133"/>
      <c r="KA23" s="133"/>
      <c r="KB23" s="133"/>
      <c r="KC23" s="133"/>
      <c r="KD23" s="133"/>
      <c r="KE23" s="133"/>
      <c r="KF23" s="133"/>
      <c r="KG23" s="133"/>
      <c r="KH23" s="133"/>
      <c r="KI23" s="133"/>
      <c r="KJ23" s="133"/>
      <c r="KK23" s="133"/>
      <c r="KL23" s="133"/>
      <c r="KM23" s="133"/>
      <c r="KN23" s="133"/>
      <c r="KO23" s="133"/>
      <c r="KP23" s="133"/>
      <c r="KQ23" s="133"/>
      <c r="KR23" s="133"/>
      <c r="KS23" s="133"/>
      <c r="KT23" s="133"/>
      <c r="KU23" s="133"/>
      <c r="KV23" s="133"/>
      <c r="KW23" s="133"/>
      <c r="KX23" s="133"/>
      <c r="KY23" s="133"/>
      <c r="KZ23" s="133"/>
      <c r="LA23" s="133"/>
      <c r="LB23" s="133"/>
      <c r="LC23" s="133"/>
      <c r="LD23" s="133"/>
      <c r="LE23" s="133"/>
      <c r="LF23" s="133"/>
      <c r="LG23" s="133"/>
      <c r="LH23" s="133"/>
      <c r="LI23" s="133"/>
      <c r="LJ23" s="133"/>
      <c r="LK23" s="133"/>
      <c r="LL23" s="133"/>
      <c r="LM23" s="133"/>
      <c r="LN23" s="133"/>
      <c r="LO23" s="133"/>
      <c r="LP23" s="133"/>
      <c r="LQ23" s="133"/>
      <c r="LR23" s="133"/>
      <c r="LS23" s="133"/>
      <c r="LT23" s="133"/>
      <c r="LU23" s="133"/>
      <c r="LV23" s="133"/>
      <c r="LW23" s="133"/>
      <c r="LX23" s="133"/>
      <c r="LY23" s="133"/>
      <c r="LZ23" s="133"/>
      <c r="MA23" s="133"/>
      <c r="MB23" s="133"/>
      <c r="MC23" s="133"/>
      <c r="MD23" s="133"/>
      <c r="ME23" s="133"/>
      <c r="MF23" s="133"/>
      <c r="MG23" s="133"/>
      <c r="MH23" s="133"/>
      <c r="MI23" s="133"/>
      <c r="MJ23" s="133"/>
      <c r="MK23" s="133"/>
      <c r="ML23" s="133"/>
      <c r="MM23" s="133"/>
      <c r="MN23" s="133"/>
      <c r="MO23" s="133"/>
      <c r="MP23" s="133"/>
      <c r="MQ23" s="133"/>
      <c r="MR23" s="133"/>
      <c r="MS23" s="133"/>
      <c r="MT23" s="133"/>
      <c r="MU23" s="133"/>
      <c r="MV23" s="133"/>
      <c r="MW23" s="133"/>
      <c r="MX23" s="133"/>
      <c r="MY23" s="133"/>
      <c r="MZ23" s="133"/>
      <c r="NA23" s="133"/>
      <c r="NB23" s="133"/>
      <c r="NC23" s="133"/>
      <c r="ND23" s="133"/>
      <c r="NE23" s="133"/>
      <c r="NF23" s="133"/>
      <c r="NG23" s="133"/>
      <c r="NH23" s="133"/>
      <c r="NI23" s="133"/>
      <c r="NJ23" s="133"/>
      <c r="NK23" s="133"/>
      <c r="NL23" s="133"/>
      <c r="NM23" s="133"/>
      <c r="NN23" s="133"/>
      <c r="NO23" s="133"/>
      <c r="NP23" s="133"/>
      <c r="NQ23" s="133"/>
      <c r="NR23" s="133"/>
      <c r="NS23" s="133"/>
      <c r="NT23" s="133"/>
      <c r="NU23" s="133"/>
      <c r="NV23" s="133"/>
      <c r="NW23" s="133"/>
      <c r="NX23" s="133"/>
      <c r="NY23" s="133"/>
      <c r="NZ23" s="133"/>
      <c r="OA23" s="133"/>
      <c r="OB23" s="133"/>
      <c r="OC23" s="133"/>
      <c r="OD23" s="133"/>
      <c r="OE23" s="133"/>
      <c r="OF23" s="133"/>
      <c r="OG23" s="133"/>
      <c r="OH23" s="133"/>
      <c r="OI23" s="133"/>
      <c r="OJ23" s="133"/>
      <c r="OK23" s="133"/>
      <c r="OL23" s="133"/>
      <c r="OM23" s="133"/>
      <c r="ON23" s="133"/>
      <c r="OO23" s="133"/>
      <c r="OP23" s="133"/>
      <c r="OQ23" s="133"/>
      <c r="OR23" s="133"/>
      <c r="OS23" s="133"/>
      <c r="OT23" s="133"/>
      <c r="OU23" s="133"/>
      <c r="OV23" s="133"/>
      <c r="OW23" s="133"/>
      <c r="OX23" s="133"/>
      <c r="OY23" s="133"/>
      <c r="OZ23" s="133"/>
      <c r="PA23" s="133"/>
      <c r="PB23" s="133"/>
      <c r="PC23" s="133"/>
      <c r="PD23" s="133"/>
      <c r="PE23" s="133"/>
      <c r="PF23" s="133"/>
      <c r="PG23" s="133"/>
      <c r="PH23" s="133"/>
      <c r="PI23" s="133"/>
      <c r="PJ23" s="133"/>
      <c r="PK23" s="133"/>
      <c r="PL23" s="133"/>
      <c r="PM23" s="133"/>
      <c r="PN23" s="133"/>
      <c r="PO23" s="133"/>
      <c r="PP23" s="133"/>
      <c r="PQ23" s="133"/>
      <c r="PR23" s="133"/>
      <c r="PS23" s="133"/>
      <c r="PT23" s="133"/>
      <c r="PU23" s="133"/>
      <c r="PV23" s="133"/>
      <c r="PW23" s="133"/>
      <c r="PX23" s="133"/>
      <c r="PY23" s="133"/>
      <c r="PZ23" s="133"/>
      <c r="QA23" s="133"/>
      <c r="QB23" s="133"/>
      <c r="QC23" s="133"/>
      <c r="QD23" s="133"/>
      <c r="QE23" s="133"/>
      <c r="QF23" s="133"/>
      <c r="QG23" s="133"/>
      <c r="QH23" s="133"/>
      <c r="QI23" s="133"/>
      <c r="QJ23" s="133"/>
      <c r="QK23" s="133"/>
      <c r="QL23" s="133"/>
      <c r="QM23" s="133"/>
      <c r="QN23" s="133"/>
      <c r="QO23" s="133"/>
      <c r="QP23" s="133"/>
      <c r="QQ23" s="133"/>
      <c r="QR23" s="133"/>
      <c r="QS23" s="133"/>
      <c r="QT23" s="133"/>
      <c r="QU23" s="133"/>
      <c r="QV23" s="133"/>
      <c r="QW23" s="133"/>
      <c r="QX23" s="133"/>
      <c r="QY23" s="133"/>
      <c r="QZ23" s="133"/>
      <c r="RA23" s="133"/>
      <c r="RB23" s="133"/>
      <c r="RC23" s="133"/>
      <c r="RD23" s="133"/>
      <c r="RE23" s="133"/>
      <c r="RF23" s="133"/>
      <c r="RG23" s="133"/>
      <c r="RH23" s="133"/>
      <c r="RI23" s="133"/>
      <c r="RJ23" s="133"/>
      <c r="RK23" s="133"/>
      <c r="RL23" s="133"/>
      <c r="RM23" s="133"/>
      <c r="RN23" s="133"/>
      <c r="RO23" s="133"/>
      <c r="RP23" s="133"/>
      <c r="RQ23" s="133"/>
      <c r="RR23" s="133"/>
      <c r="RS23" s="133"/>
      <c r="RT23" s="133"/>
      <c r="RU23" s="133"/>
      <c r="RV23" s="133"/>
      <c r="RW23" s="133"/>
      <c r="RX23" s="133"/>
      <c r="RY23" s="133"/>
      <c r="RZ23" s="133"/>
      <c r="SA23" s="133"/>
      <c r="SB23" s="133"/>
      <c r="SC23" s="133"/>
      <c r="SD23" s="133"/>
      <c r="SE23" s="133"/>
      <c r="SF23" s="133"/>
      <c r="SG23" s="133"/>
      <c r="SH23" s="133"/>
      <c r="SI23" s="133"/>
      <c r="SJ23" s="133"/>
      <c r="SK23" s="133"/>
      <c r="SL23" s="133"/>
      <c r="SM23" s="133"/>
      <c r="SN23" s="133"/>
      <c r="SO23" s="133"/>
      <c r="SP23" s="133"/>
      <c r="SQ23" s="133"/>
      <c r="SR23" s="133"/>
      <c r="SS23" s="133"/>
      <c r="ST23" s="133"/>
      <c r="SU23" s="133"/>
      <c r="SV23" s="133"/>
      <c r="SW23" s="133"/>
      <c r="SX23" s="133"/>
      <c r="SY23" s="133"/>
      <c r="SZ23" s="133"/>
      <c r="TA23" s="133"/>
      <c r="TB23" s="133"/>
      <c r="TC23" s="133"/>
      <c r="TD23" s="133"/>
      <c r="TE23" s="133"/>
      <c r="TF23" s="133"/>
      <c r="TG23" s="133"/>
      <c r="TH23" s="133"/>
      <c r="TI23" s="133"/>
      <c r="TJ23" s="133"/>
      <c r="TK23" s="133"/>
      <c r="TL23" s="133"/>
      <c r="TM23" s="133"/>
      <c r="TN23" s="133"/>
      <c r="TO23" s="133"/>
      <c r="TP23" s="133"/>
      <c r="TQ23" s="133"/>
      <c r="TR23" s="133"/>
      <c r="TS23" s="133"/>
      <c r="TT23" s="133"/>
      <c r="TU23" s="133"/>
      <c r="TV23" s="133"/>
      <c r="TW23" s="133"/>
      <c r="TX23" s="133"/>
      <c r="TY23" s="133"/>
      <c r="TZ23" s="133"/>
      <c r="UA23" s="133"/>
      <c r="UB23" s="133"/>
      <c r="UC23" s="133"/>
      <c r="UD23" s="133"/>
      <c r="UE23" s="133"/>
      <c r="UF23" s="133"/>
      <c r="UG23" s="133"/>
      <c r="UH23" s="133"/>
      <c r="UI23" s="133"/>
      <c r="UJ23" s="133"/>
      <c r="UK23" s="133"/>
      <c r="UL23" s="133"/>
      <c r="UM23" s="133"/>
      <c r="UN23" s="133"/>
      <c r="UO23" s="133"/>
      <c r="UP23" s="133"/>
      <c r="UQ23" s="133"/>
      <c r="UR23" s="133"/>
      <c r="US23" s="133"/>
      <c r="UT23" s="133"/>
      <c r="UU23" s="133"/>
      <c r="UV23" s="133"/>
      <c r="UW23" s="133"/>
      <c r="UX23" s="133"/>
      <c r="UY23" s="133"/>
      <c r="UZ23" s="133"/>
      <c r="VA23" s="133"/>
      <c r="VB23" s="133"/>
      <c r="VC23" s="133"/>
      <c r="VD23" s="133"/>
      <c r="VE23" s="133"/>
      <c r="VF23" s="133"/>
      <c r="VG23" s="133"/>
      <c r="VH23" s="133"/>
      <c r="VI23" s="133"/>
      <c r="VJ23" s="133"/>
      <c r="VK23" s="133"/>
      <c r="VL23" s="133"/>
      <c r="VM23" s="133"/>
      <c r="VN23" s="133"/>
      <c r="VO23" s="133"/>
      <c r="VP23" s="133"/>
      <c r="VQ23" s="133"/>
      <c r="VR23" s="133"/>
      <c r="VS23" s="133"/>
      <c r="VT23" s="133"/>
      <c r="VU23" s="133"/>
      <c r="VV23" s="133"/>
      <c r="VW23" s="133"/>
      <c r="VX23" s="133"/>
      <c r="VY23" s="133"/>
      <c r="VZ23" s="133"/>
      <c r="WA23" s="133"/>
      <c r="WB23" s="133"/>
      <c r="WC23" s="133"/>
      <c r="WD23" s="133"/>
      <c r="WE23" s="133"/>
      <c r="WF23" s="133"/>
      <c r="WG23" s="133"/>
      <c r="WH23" s="133"/>
      <c r="WI23" s="133"/>
      <c r="WJ23" s="133"/>
      <c r="WK23" s="133"/>
      <c r="WL23" s="133"/>
      <c r="WM23" s="133"/>
      <c r="WN23" s="133"/>
      <c r="WO23" s="133"/>
      <c r="WP23" s="133"/>
      <c r="WQ23" s="133"/>
      <c r="WR23" s="133"/>
      <c r="WS23" s="133"/>
      <c r="WT23" s="133"/>
      <c r="WU23" s="133"/>
      <c r="WV23" s="133"/>
      <c r="WW23" s="133"/>
      <c r="WX23" s="133"/>
      <c r="WY23" s="133"/>
      <c r="WZ23" s="133"/>
      <c r="XA23" s="133"/>
      <c r="XB23" s="133"/>
      <c r="XC23" s="133"/>
      <c r="XD23" s="133"/>
      <c r="XE23" s="133"/>
      <c r="XF23" s="133"/>
      <c r="XG23" s="133"/>
      <c r="XH23" s="133"/>
      <c r="XI23" s="133"/>
      <c r="XJ23" s="133"/>
      <c r="XK23" s="133"/>
      <c r="XL23" s="133"/>
      <c r="XM23" s="133"/>
      <c r="XN23" s="133"/>
      <c r="XO23" s="133"/>
      <c r="XP23" s="133"/>
      <c r="XQ23" s="133"/>
      <c r="XR23" s="133"/>
      <c r="XS23" s="133"/>
      <c r="XT23" s="133"/>
      <c r="XU23" s="133"/>
      <c r="XV23" s="133"/>
      <c r="XW23" s="133"/>
      <c r="XX23" s="133"/>
      <c r="XY23" s="133"/>
      <c r="XZ23" s="133"/>
      <c r="YA23" s="133"/>
      <c r="YB23" s="133"/>
      <c r="YC23" s="133"/>
      <c r="YD23" s="133"/>
      <c r="YE23" s="133"/>
      <c r="YF23" s="133"/>
      <c r="YG23" s="133"/>
      <c r="YH23" s="133"/>
      <c r="YI23" s="133"/>
      <c r="YJ23" s="133"/>
      <c r="YK23" s="133"/>
      <c r="YL23" s="133"/>
      <c r="YM23" s="133"/>
      <c r="YN23" s="133"/>
      <c r="YO23" s="133"/>
      <c r="YP23" s="133"/>
      <c r="YQ23" s="133"/>
      <c r="YR23" s="133"/>
      <c r="YS23" s="133"/>
      <c r="YT23" s="133"/>
      <c r="YU23" s="133"/>
      <c r="YV23" s="133"/>
      <c r="YW23" s="133"/>
      <c r="YX23" s="133"/>
      <c r="YY23" s="133"/>
      <c r="YZ23" s="133"/>
      <c r="ZA23" s="133"/>
      <c r="ZB23" s="133"/>
      <c r="ZC23" s="133"/>
      <c r="ZD23" s="133"/>
      <c r="ZE23" s="133"/>
      <c r="ZF23" s="133"/>
      <c r="ZG23" s="133"/>
      <c r="ZH23" s="133"/>
      <c r="ZI23" s="133"/>
      <c r="ZJ23" s="133"/>
      <c r="ZK23" s="133"/>
      <c r="ZL23" s="133"/>
      <c r="ZM23" s="133"/>
      <c r="ZN23" s="133"/>
      <c r="ZO23" s="133"/>
      <c r="ZP23" s="133"/>
      <c r="ZQ23" s="133"/>
      <c r="ZR23" s="133"/>
      <c r="ZS23" s="133"/>
      <c r="ZT23" s="133"/>
      <c r="ZU23" s="133"/>
      <c r="ZV23" s="133"/>
      <c r="ZW23" s="133"/>
      <c r="ZX23" s="133"/>
      <c r="ZY23" s="133"/>
      <c r="ZZ23" s="133"/>
      <c r="AAA23" s="133"/>
      <c r="AAB23" s="133"/>
      <c r="AAC23" s="133"/>
      <c r="AAD23" s="133"/>
      <c r="AAE23" s="133"/>
      <c r="AAF23" s="133"/>
      <c r="AAG23" s="133"/>
      <c r="AAH23" s="133"/>
      <c r="AAI23" s="133"/>
      <c r="AAJ23" s="133"/>
      <c r="AAK23" s="133"/>
      <c r="AAL23" s="133"/>
      <c r="AAM23" s="133"/>
      <c r="AAN23" s="133"/>
      <c r="AAO23" s="133"/>
      <c r="AAP23" s="133"/>
      <c r="AAQ23" s="133"/>
      <c r="AAR23" s="133"/>
      <c r="AAS23" s="133"/>
      <c r="AAT23" s="133"/>
      <c r="AAU23" s="133"/>
      <c r="AAV23" s="133"/>
      <c r="AAW23" s="133"/>
      <c r="AAX23" s="133"/>
      <c r="AAY23" s="133"/>
      <c r="AAZ23" s="133"/>
      <c r="ABA23" s="133"/>
      <c r="ABB23" s="133"/>
      <c r="ABC23" s="133"/>
      <c r="ABD23" s="133"/>
      <c r="ABE23" s="133"/>
      <c r="ABF23" s="133"/>
      <c r="ABG23" s="133"/>
      <c r="ABH23" s="133"/>
      <c r="ABI23" s="133"/>
      <c r="ABJ23" s="133"/>
      <c r="ABK23" s="133"/>
      <c r="ABL23" s="133"/>
      <c r="ABM23" s="133"/>
      <c r="ABN23" s="133"/>
      <c r="ABO23" s="133"/>
      <c r="ABP23" s="133"/>
      <c r="ABQ23" s="133"/>
      <c r="ABR23" s="133"/>
      <c r="ABS23" s="133"/>
      <c r="ABT23" s="133"/>
      <c r="ABU23" s="133"/>
      <c r="ABV23" s="133"/>
      <c r="ABW23" s="133"/>
      <c r="ABX23" s="133"/>
      <c r="ABY23" s="133"/>
      <c r="ABZ23" s="133"/>
      <c r="ACA23" s="133"/>
      <c r="ACB23" s="133"/>
      <c r="ACC23" s="133"/>
      <c r="ACD23" s="133"/>
      <c r="ACE23" s="133"/>
      <c r="ACF23" s="133"/>
      <c r="ACG23" s="133"/>
      <c r="ACH23" s="133"/>
      <c r="ACI23" s="133"/>
      <c r="ACJ23" s="133"/>
      <c r="ACK23" s="133"/>
      <c r="ACL23" s="133"/>
      <c r="ACM23" s="133"/>
      <c r="ACN23" s="133"/>
      <c r="ACO23" s="133"/>
      <c r="ACP23" s="133"/>
      <c r="ACQ23" s="133"/>
      <c r="ACR23" s="133"/>
      <c r="ACS23" s="133"/>
      <c r="ACT23" s="133"/>
      <c r="ACU23" s="133"/>
      <c r="ACV23" s="133"/>
      <c r="ACW23" s="133"/>
      <c r="ACX23" s="133"/>
      <c r="ACY23" s="133"/>
      <c r="ACZ23" s="133"/>
      <c r="ADA23" s="133"/>
      <c r="ADB23" s="133"/>
      <c r="ADC23" s="133"/>
      <c r="ADD23" s="133"/>
      <c r="ADE23" s="133"/>
      <c r="ADF23" s="133"/>
      <c r="ADG23" s="133"/>
      <c r="ADH23" s="133"/>
      <c r="ADI23" s="133"/>
      <c r="ADJ23" s="133"/>
      <c r="ADK23" s="133"/>
      <c r="ADL23" s="133"/>
      <c r="ADM23" s="133"/>
      <c r="ADN23" s="133"/>
      <c r="ADO23" s="133"/>
      <c r="ADP23" s="133"/>
      <c r="ADQ23" s="133"/>
      <c r="ADR23" s="133"/>
      <c r="ADS23" s="133"/>
      <c r="ADT23" s="133"/>
      <c r="ADU23" s="133"/>
      <c r="ADV23" s="133"/>
      <c r="ADW23" s="133"/>
      <c r="ADX23" s="133"/>
      <c r="ADY23" s="133"/>
      <c r="ADZ23" s="133"/>
      <c r="AEA23" s="133"/>
      <c r="AEB23" s="133"/>
      <c r="AEC23" s="133"/>
      <c r="AED23" s="133"/>
      <c r="AEE23" s="133"/>
      <c r="AEF23" s="133"/>
      <c r="AEG23" s="133"/>
      <c r="AEH23" s="133"/>
      <c r="AEI23" s="133"/>
      <c r="AEJ23" s="133"/>
      <c r="AEK23" s="133"/>
      <c r="AEL23" s="133"/>
      <c r="AEM23" s="133"/>
      <c r="AEN23" s="133"/>
      <c r="AEO23" s="133"/>
      <c r="AEP23" s="133"/>
      <c r="AEQ23" s="133"/>
      <c r="AER23" s="133"/>
      <c r="AES23" s="133"/>
      <c r="AET23" s="133"/>
      <c r="AEU23" s="133"/>
      <c r="AEV23" s="133"/>
      <c r="AEW23" s="133"/>
      <c r="AEX23" s="133"/>
      <c r="AEY23" s="133"/>
      <c r="AEZ23" s="133"/>
      <c r="AFA23" s="133"/>
      <c r="AFB23" s="133"/>
      <c r="AFC23" s="133"/>
      <c r="AFD23" s="133"/>
      <c r="AFE23" s="133"/>
      <c r="AFF23" s="133"/>
      <c r="AFG23" s="133"/>
      <c r="AFH23" s="133"/>
      <c r="AFI23" s="133"/>
      <c r="AFJ23" s="133"/>
      <c r="AFK23" s="133"/>
      <c r="AFL23" s="133"/>
      <c r="AFM23" s="133"/>
      <c r="AFN23" s="133"/>
      <c r="AFO23" s="133"/>
      <c r="AFP23" s="133"/>
      <c r="AFQ23" s="133"/>
      <c r="AFR23" s="133"/>
      <c r="AFS23" s="133"/>
      <c r="AFT23" s="133"/>
      <c r="AFU23" s="133"/>
      <c r="AFV23" s="133"/>
      <c r="AFW23" s="133"/>
      <c r="AFX23" s="133"/>
      <c r="AFY23" s="133"/>
      <c r="AFZ23" s="133"/>
      <c r="AGA23" s="133"/>
      <c r="AGB23" s="133"/>
      <c r="AGC23" s="133"/>
      <c r="AGD23" s="133"/>
      <c r="AGE23" s="133"/>
      <c r="AGF23" s="133"/>
      <c r="AGG23" s="133"/>
      <c r="AGH23" s="133"/>
      <c r="AGI23" s="133"/>
      <c r="AGJ23" s="133"/>
      <c r="AGK23" s="133"/>
      <c r="AGL23" s="133"/>
      <c r="AGM23" s="133"/>
      <c r="AGN23" s="133"/>
      <c r="AGO23" s="133"/>
      <c r="AGP23" s="133"/>
      <c r="AGQ23" s="133"/>
      <c r="AGR23" s="133"/>
      <c r="AGS23" s="133"/>
      <c r="AGT23" s="133"/>
      <c r="AGU23" s="133"/>
      <c r="AGV23" s="133"/>
      <c r="AGW23" s="133"/>
      <c r="AGX23" s="133"/>
      <c r="AGY23" s="133"/>
      <c r="AGZ23" s="133"/>
      <c r="AHA23" s="133"/>
      <c r="AHB23" s="133"/>
      <c r="AHC23" s="133"/>
      <c r="AHD23" s="133"/>
      <c r="AHE23" s="133"/>
      <c r="AHF23" s="133"/>
      <c r="AHG23" s="133"/>
      <c r="AHH23" s="133"/>
      <c r="AHI23" s="133"/>
      <c r="AHJ23" s="133"/>
      <c r="AHK23" s="133"/>
      <c r="AHL23" s="133"/>
      <c r="AHM23" s="133"/>
      <c r="AHN23" s="133"/>
      <c r="AHO23" s="133"/>
      <c r="AHP23" s="133"/>
      <c r="AHQ23" s="133"/>
      <c r="AHR23" s="133"/>
      <c r="AHS23" s="133"/>
      <c r="AHT23" s="133"/>
      <c r="AHU23" s="133"/>
      <c r="AHV23" s="133"/>
      <c r="AHW23" s="133"/>
      <c r="AHX23" s="133"/>
      <c r="AHY23" s="133"/>
      <c r="AHZ23" s="133"/>
      <c r="AIA23" s="133"/>
      <c r="AIB23" s="133"/>
      <c r="AIC23" s="133"/>
      <c r="AID23" s="133"/>
      <c r="AIE23" s="133"/>
      <c r="AIF23" s="133"/>
      <c r="AIG23" s="133"/>
      <c r="AIH23" s="133"/>
      <c r="AII23" s="133"/>
      <c r="AIJ23" s="133"/>
      <c r="AIK23" s="133"/>
      <c r="AIL23" s="133"/>
      <c r="AIM23" s="133"/>
      <c r="AIN23" s="133"/>
      <c r="AIO23" s="133"/>
      <c r="AIP23" s="133"/>
      <c r="AIQ23" s="133"/>
      <c r="AIR23" s="133"/>
      <c r="AIS23" s="133"/>
      <c r="AIT23" s="133"/>
      <c r="AIU23" s="133"/>
      <c r="AIV23" s="133"/>
      <c r="AIW23" s="133"/>
      <c r="AIX23" s="133"/>
      <c r="AIY23" s="133"/>
      <c r="AIZ23" s="133"/>
      <c r="AJA23" s="133"/>
      <c r="AJB23" s="133"/>
      <c r="AJC23" s="133"/>
      <c r="AJD23" s="133"/>
      <c r="AJE23" s="133"/>
      <c r="AJF23" s="133"/>
      <c r="AJG23" s="133"/>
      <c r="AJH23" s="133"/>
      <c r="AJI23" s="133"/>
      <c r="AJJ23" s="133"/>
      <c r="AJK23" s="133"/>
      <c r="AJL23" s="133"/>
      <c r="AJM23" s="133"/>
      <c r="AJN23" s="133"/>
      <c r="AJO23" s="133"/>
      <c r="AJP23" s="133"/>
      <c r="AJQ23" s="133"/>
      <c r="AJR23" s="133"/>
      <c r="AJS23" s="133"/>
      <c r="AJT23" s="133"/>
      <c r="AJU23" s="133"/>
      <c r="AJV23" s="133"/>
      <c r="AJW23" s="133"/>
      <c r="AJX23" s="133"/>
      <c r="AJY23" s="133"/>
      <c r="AJZ23" s="133"/>
      <c r="AKA23" s="133"/>
      <c r="AKB23" s="133"/>
      <c r="AKC23" s="133"/>
      <c r="AKD23" s="133"/>
      <c r="AKE23" s="133"/>
      <c r="AKF23" s="133"/>
      <c r="AKG23" s="133"/>
      <c r="AKH23" s="133"/>
      <c r="AKI23" s="133"/>
      <c r="AKJ23" s="133"/>
      <c r="AKK23" s="133"/>
      <c r="AKL23" s="133"/>
      <c r="AKM23" s="133"/>
      <c r="AKN23" s="133"/>
      <c r="AKO23" s="133"/>
      <c r="AKP23" s="133"/>
      <c r="AKQ23" s="133"/>
      <c r="AKR23" s="133"/>
      <c r="AKS23" s="133"/>
      <c r="AKT23" s="133"/>
      <c r="AKU23" s="133"/>
      <c r="AKV23" s="133"/>
      <c r="AKW23" s="133"/>
      <c r="AKX23" s="133"/>
      <c r="AKY23" s="133"/>
      <c r="AKZ23" s="133"/>
      <c r="ALA23" s="133"/>
      <c r="ALB23" s="133"/>
      <c r="ALC23" s="133"/>
      <c r="ALD23" s="133"/>
      <c r="ALE23" s="133"/>
    </row>
    <row r="24" spans="1:993" s="135" customFormat="1" ht="72.75" customHeight="1">
      <c r="A24" s="134"/>
      <c r="B24" s="134"/>
      <c r="C24" s="319"/>
      <c r="D24" s="319"/>
      <c r="E24" s="791" t="s">
        <v>2687</v>
      </c>
      <c r="F24" s="319"/>
      <c r="G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  <c r="JG24" s="133"/>
      <c r="JH24" s="133"/>
      <c r="JI24" s="133"/>
      <c r="JJ24" s="133"/>
      <c r="JK24" s="133"/>
      <c r="JL24" s="133"/>
      <c r="JM24" s="133"/>
      <c r="JN24" s="133"/>
      <c r="JO24" s="133"/>
      <c r="JP24" s="133"/>
      <c r="JQ24" s="133"/>
      <c r="JR24" s="133"/>
      <c r="JS24" s="133"/>
      <c r="JT24" s="133"/>
      <c r="JU24" s="133"/>
      <c r="JV24" s="133"/>
      <c r="JW24" s="133"/>
      <c r="JX24" s="133"/>
      <c r="JY24" s="133"/>
      <c r="JZ24" s="133"/>
      <c r="KA24" s="133"/>
      <c r="KB24" s="133"/>
      <c r="KC24" s="133"/>
      <c r="KD24" s="133"/>
      <c r="KE24" s="133"/>
      <c r="KF24" s="133"/>
      <c r="KG24" s="133"/>
      <c r="KH24" s="133"/>
      <c r="KI24" s="133"/>
      <c r="KJ24" s="133"/>
      <c r="KK24" s="133"/>
      <c r="KL24" s="133"/>
      <c r="KM24" s="133"/>
      <c r="KN24" s="133"/>
      <c r="KO24" s="133"/>
      <c r="KP24" s="133"/>
      <c r="KQ24" s="133"/>
      <c r="KR24" s="133"/>
      <c r="KS24" s="133"/>
      <c r="KT24" s="133"/>
      <c r="KU24" s="133"/>
      <c r="KV24" s="133"/>
      <c r="KW24" s="133"/>
      <c r="KX24" s="133"/>
      <c r="KY24" s="133"/>
      <c r="KZ24" s="133"/>
      <c r="LA24" s="133"/>
      <c r="LB24" s="133"/>
      <c r="LC24" s="133"/>
      <c r="LD24" s="133"/>
      <c r="LE24" s="133"/>
      <c r="LF24" s="133"/>
      <c r="LG24" s="133"/>
      <c r="LH24" s="133"/>
      <c r="LI24" s="133"/>
      <c r="LJ24" s="133"/>
      <c r="LK24" s="133"/>
      <c r="LL24" s="133"/>
      <c r="LM24" s="133"/>
      <c r="LN24" s="133"/>
      <c r="LO24" s="133"/>
      <c r="LP24" s="133"/>
      <c r="LQ24" s="133"/>
      <c r="LR24" s="133"/>
      <c r="LS24" s="133"/>
      <c r="LT24" s="133"/>
      <c r="LU24" s="133"/>
      <c r="LV24" s="133"/>
      <c r="LW24" s="133"/>
      <c r="LX24" s="133"/>
      <c r="LY24" s="133"/>
      <c r="LZ24" s="133"/>
      <c r="MA24" s="133"/>
      <c r="MB24" s="133"/>
      <c r="MC24" s="133"/>
      <c r="MD24" s="133"/>
      <c r="ME24" s="133"/>
      <c r="MF24" s="133"/>
      <c r="MG24" s="133"/>
      <c r="MH24" s="133"/>
      <c r="MI24" s="133"/>
      <c r="MJ24" s="133"/>
      <c r="MK24" s="133"/>
      <c r="ML24" s="133"/>
      <c r="MM24" s="133"/>
      <c r="MN24" s="133"/>
      <c r="MO24" s="133"/>
      <c r="MP24" s="133"/>
      <c r="MQ24" s="133"/>
      <c r="MR24" s="133"/>
      <c r="MS24" s="133"/>
      <c r="MT24" s="133"/>
      <c r="MU24" s="133"/>
      <c r="MV24" s="133"/>
      <c r="MW24" s="133"/>
      <c r="MX24" s="133"/>
      <c r="MY24" s="133"/>
      <c r="MZ24" s="133"/>
      <c r="NA24" s="133"/>
      <c r="NB24" s="133"/>
      <c r="NC24" s="133"/>
      <c r="ND24" s="133"/>
      <c r="NE24" s="133"/>
      <c r="NF24" s="133"/>
      <c r="NG24" s="133"/>
      <c r="NH24" s="133"/>
      <c r="NI24" s="133"/>
      <c r="NJ24" s="133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3"/>
      <c r="NY24" s="133"/>
      <c r="NZ24" s="133"/>
      <c r="OA24" s="133"/>
      <c r="OB24" s="133"/>
      <c r="OC24" s="133"/>
      <c r="OD24" s="133"/>
      <c r="OE24" s="133"/>
      <c r="OF24" s="133"/>
      <c r="OG24" s="133"/>
      <c r="OH24" s="133"/>
      <c r="OI24" s="133"/>
      <c r="OJ24" s="133"/>
      <c r="OK24" s="133"/>
      <c r="OL24" s="133"/>
      <c r="OM24" s="133"/>
      <c r="ON24" s="133"/>
      <c r="OO24" s="133"/>
      <c r="OP24" s="133"/>
      <c r="OQ24" s="133"/>
      <c r="OR24" s="133"/>
      <c r="OS24" s="133"/>
      <c r="OT24" s="133"/>
      <c r="OU24" s="133"/>
      <c r="OV24" s="133"/>
      <c r="OW24" s="133"/>
      <c r="OX24" s="133"/>
      <c r="OY24" s="133"/>
      <c r="OZ24" s="133"/>
      <c r="PA24" s="133"/>
      <c r="PB24" s="133"/>
      <c r="PC24" s="133"/>
      <c r="PD24" s="133"/>
      <c r="PE24" s="133"/>
      <c r="PF24" s="133"/>
      <c r="PG24" s="133"/>
      <c r="PH24" s="133"/>
      <c r="PI24" s="133"/>
      <c r="PJ24" s="133"/>
      <c r="PK24" s="133"/>
      <c r="PL24" s="133"/>
      <c r="PM24" s="133"/>
      <c r="PN24" s="133"/>
      <c r="PO24" s="133"/>
      <c r="PP24" s="133"/>
      <c r="PQ24" s="133"/>
      <c r="PR24" s="133"/>
      <c r="PS24" s="133"/>
      <c r="PT24" s="133"/>
      <c r="PU24" s="133"/>
      <c r="PV24" s="133"/>
      <c r="PW24" s="133"/>
      <c r="PX24" s="133"/>
      <c r="PY24" s="133"/>
      <c r="PZ24" s="133"/>
      <c r="QA24" s="133"/>
      <c r="QB24" s="133"/>
      <c r="QC24" s="133"/>
      <c r="QD24" s="133"/>
      <c r="QE24" s="133"/>
      <c r="QF24" s="133"/>
      <c r="QG24" s="133"/>
      <c r="QH24" s="133"/>
      <c r="QI24" s="133"/>
      <c r="QJ24" s="133"/>
      <c r="QK24" s="133"/>
      <c r="QL24" s="133"/>
      <c r="QM24" s="133"/>
      <c r="QN24" s="133"/>
      <c r="QO24" s="133"/>
      <c r="QP24" s="133"/>
      <c r="QQ24" s="133"/>
      <c r="QR24" s="133"/>
      <c r="QS24" s="133"/>
      <c r="QT24" s="133"/>
      <c r="QU24" s="133"/>
      <c r="QV24" s="133"/>
      <c r="QW24" s="133"/>
      <c r="QX24" s="133"/>
      <c r="QY24" s="133"/>
      <c r="QZ24" s="133"/>
      <c r="RA24" s="133"/>
      <c r="RB24" s="133"/>
      <c r="RC24" s="133"/>
      <c r="RD24" s="133"/>
      <c r="RE24" s="133"/>
      <c r="RF24" s="133"/>
      <c r="RG24" s="133"/>
      <c r="RH24" s="133"/>
      <c r="RI24" s="133"/>
      <c r="RJ24" s="133"/>
      <c r="RK24" s="133"/>
      <c r="RL24" s="133"/>
      <c r="RM24" s="133"/>
      <c r="RN24" s="133"/>
      <c r="RO24" s="133"/>
      <c r="RP24" s="133"/>
      <c r="RQ24" s="133"/>
      <c r="RR24" s="133"/>
      <c r="RS24" s="133"/>
      <c r="RT24" s="133"/>
      <c r="RU24" s="133"/>
      <c r="RV24" s="133"/>
      <c r="RW24" s="133"/>
      <c r="RX24" s="133"/>
      <c r="RY24" s="133"/>
      <c r="RZ24" s="133"/>
      <c r="SA24" s="133"/>
      <c r="SB24" s="133"/>
      <c r="SC24" s="133"/>
      <c r="SD24" s="133"/>
      <c r="SE24" s="133"/>
      <c r="SF24" s="133"/>
      <c r="SG24" s="133"/>
      <c r="SH24" s="133"/>
      <c r="SI24" s="133"/>
      <c r="SJ24" s="133"/>
      <c r="SK24" s="133"/>
      <c r="SL24" s="133"/>
      <c r="SM24" s="133"/>
      <c r="SN24" s="133"/>
      <c r="SO24" s="133"/>
      <c r="SP24" s="133"/>
      <c r="SQ24" s="133"/>
      <c r="SR24" s="133"/>
      <c r="SS24" s="133"/>
      <c r="ST24" s="133"/>
      <c r="SU24" s="133"/>
      <c r="SV24" s="133"/>
      <c r="SW24" s="133"/>
      <c r="SX24" s="133"/>
      <c r="SY24" s="133"/>
      <c r="SZ24" s="133"/>
      <c r="TA24" s="133"/>
      <c r="TB24" s="133"/>
      <c r="TC24" s="133"/>
      <c r="TD24" s="133"/>
      <c r="TE24" s="133"/>
      <c r="TF24" s="133"/>
      <c r="TG24" s="133"/>
      <c r="TH24" s="133"/>
      <c r="TI24" s="133"/>
      <c r="TJ24" s="133"/>
      <c r="TK24" s="133"/>
      <c r="TL24" s="133"/>
      <c r="TM24" s="133"/>
      <c r="TN24" s="133"/>
      <c r="TO24" s="133"/>
      <c r="TP24" s="133"/>
      <c r="TQ24" s="133"/>
      <c r="TR24" s="133"/>
      <c r="TS24" s="133"/>
      <c r="TT24" s="133"/>
      <c r="TU24" s="133"/>
      <c r="TV24" s="133"/>
      <c r="TW24" s="133"/>
      <c r="TX24" s="133"/>
      <c r="TY24" s="133"/>
      <c r="TZ24" s="133"/>
      <c r="UA24" s="133"/>
      <c r="UB24" s="133"/>
      <c r="UC24" s="133"/>
      <c r="UD24" s="133"/>
      <c r="UE24" s="133"/>
      <c r="UF24" s="133"/>
      <c r="UG24" s="133"/>
      <c r="UH24" s="133"/>
      <c r="UI24" s="133"/>
      <c r="UJ24" s="133"/>
      <c r="UK24" s="133"/>
      <c r="UL24" s="133"/>
      <c r="UM24" s="133"/>
      <c r="UN24" s="133"/>
      <c r="UO24" s="133"/>
      <c r="UP24" s="133"/>
      <c r="UQ24" s="133"/>
      <c r="UR24" s="133"/>
      <c r="US24" s="133"/>
      <c r="UT24" s="133"/>
      <c r="UU24" s="133"/>
      <c r="UV24" s="133"/>
      <c r="UW24" s="133"/>
      <c r="UX24" s="133"/>
      <c r="UY24" s="133"/>
      <c r="UZ24" s="133"/>
      <c r="VA24" s="133"/>
      <c r="VB24" s="133"/>
      <c r="VC24" s="133"/>
      <c r="VD24" s="133"/>
      <c r="VE24" s="133"/>
      <c r="VF24" s="133"/>
      <c r="VG24" s="133"/>
      <c r="VH24" s="133"/>
      <c r="VI24" s="133"/>
      <c r="VJ24" s="133"/>
      <c r="VK24" s="133"/>
      <c r="VL24" s="133"/>
      <c r="VM24" s="133"/>
      <c r="VN24" s="133"/>
      <c r="VO24" s="133"/>
      <c r="VP24" s="133"/>
      <c r="VQ24" s="133"/>
      <c r="VR24" s="133"/>
      <c r="VS24" s="133"/>
      <c r="VT24" s="133"/>
      <c r="VU24" s="133"/>
      <c r="VV24" s="133"/>
      <c r="VW24" s="133"/>
      <c r="VX24" s="133"/>
      <c r="VY24" s="133"/>
      <c r="VZ24" s="133"/>
      <c r="WA24" s="133"/>
      <c r="WB24" s="133"/>
      <c r="WC24" s="133"/>
      <c r="WD24" s="133"/>
      <c r="WE24" s="133"/>
      <c r="WF24" s="133"/>
      <c r="WG24" s="133"/>
      <c r="WH24" s="133"/>
      <c r="WI24" s="133"/>
      <c r="WJ24" s="133"/>
      <c r="WK24" s="133"/>
      <c r="WL24" s="133"/>
      <c r="WM24" s="133"/>
      <c r="WN24" s="133"/>
      <c r="WO24" s="133"/>
      <c r="WP24" s="133"/>
      <c r="WQ24" s="133"/>
      <c r="WR24" s="133"/>
      <c r="WS24" s="133"/>
      <c r="WT24" s="133"/>
      <c r="WU24" s="133"/>
      <c r="WV24" s="133"/>
      <c r="WW24" s="133"/>
      <c r="WX24" s="133"/>
      <c r="WY24" s="133"/>
      <c r="WZ24" s="133"/>
      <c r="XA24" s="133"/>
      <c r="XB24" s="133"/>
      <c r="XC24" s="133"/>
      <c r="XD24" s="133"/>
      <c r="XE24" s="133"/>
      <c r="XF24" s="133"/>
      <c r="XG24" s="133"/>
      <c r="XH24" s="133"/>
      <c r="XI24" s="133"/>
      <c r="XJ24" s="133"/>
      <c r="XK24" s="133"/>
      <c r="XL24" s="133"/>
      <c r="XM24" s="133"/>
      <c r="XN24" s="133"/>
      <c r="XO24" s="133"/>
      <c r="XP24" s="133"/>
      <c r="XQ24" s="133"/>
      <c r="XR24" s="133"/>
      <c r="XS24" s="133"/>
      <c r="XT24" s="133"/>
      <c r="XU24" s="133"/>
      <c r="XV24" s="133"/>
      <c r="XW24" s="133"/>
      <c r="XX24" s="133"/>
      <c r="XY24" s="133"/>
      <c r="XZ24" s="133"/>
      <c r="YA24" s="133"/>
      <c r="YB24" s="133"/>
      <c r="YC24" s="133"/>
      <c r="YD24" s="133"/>
      <c r="YE24" s="133"/>
      <c r="YF24" s="133"/>
      <c r="YG24" s="133"/>
      <c r="YH24" s="133"/>
      <c r="YI24" s="133"/>
      <c r="YJ24" s="133"/>
      <c r="YK24" s="133"/>
      <c r="YL24" s="133"/>
      <c r="YM24" s="133"/>
      <c r="YN24" s="133"/>
      <c r="YO24" s="133"/>
      <c r="YP24" s="133"/>
      <c r="YQ24" s="133"/>
      <c r="YR24" s="133"/>
      <c r="YS24" s="133"/>
      <c r="YT24" s="133"/>
      <c r="YU24" s="133"/>
      <c r="YV24" s="133"/>
      <c r="YW24" s="133"/>
      <c r="YX24" s="133"/>
      <c r="YY24" s="133"/>
      <c r="YZ24" s="133"/>
      <c r="ZA24" s="133"/>
      <c r="ZB24" s="133"/>
      <c r="ZC24" s="133"/>
      <c r="ZD24" s="133"/>
      <c r="ZE24" s="133"/>
      <c r="ZF24" s="133"/>
      <c r="ZG24" s="133"/>
      <c r="ZH24" s="133"/>
      <c r="ZI24" s="133"/>
      <c r="ZJ24" s="133"/>
      <c r="ZK24" s="133"/>
      <c r="ZL24" s="133"/>
      <c r="ZM24" s="133"/>
      <c r="ZN24" s="133"/>
      <c r="ZO24" s="133"/>
      <c r="ZP24" s="133"/>
      <c r="ZQ24" s="133"/>
      <c r="ZR24" s="133"/>
      <c r="ZS24" s="133"/>
      <c r="ZT24" s="133"/>
      <c r="ZU24" s="133"/>
      <c r="ZV24" s="133"/>
      <c r="ZW24" s="133"/>
      <c r="ZX24" s="133"/>
      <c r="ZY24" s="133"/>
      <c r="ZZ24" s="133"/>
      <c r="AAA24" s="133"/>
      <c r="AAB24" s="133"/>
      <c r="AAC24" s="133"/>
      <c r="AAD24" s="133"/>
      <c r="AAE24" s="133"/>
      <c r="AAF24" s="133"/>
      <c r="AAG24" s="133"/>
      <c r="AAH24" s="133"/>
      <c r="AAI24" s="133"/>
      <c r="AAJ24" s="133"/>
      <c r="AAK24" s="133"/>
      <c r="AAL24" s="133"/>
      <c r="AAM24" s="133"/>
      <c r="AAN24" s="133"/>
      <c r="AAO24" s="133"/>
      <c r="AAP24" s="133"/>
      <c r="AAQ24" s="133"/>
      <c r="AAR24" s="133"/>
      <c r="AAS24" s="133"/>
      <c r="AAT24" s="133"/>
      <c r="AAU24" s="133"/>
      <c r="AAV24" s="133"/>
      <c r="AAW24" s="133"/>
      <c r="AAX24" s="133"/>
      <c r="AAY24" s="133"/>
      <c r="AAZ24" s="133"/>
      <c r="ABA24" s="133"/>
      <c r="ABB24" s="133"/>
      <c r="ABC24" s="133"/>
      <c r="ABD24" s="133"/>
      <c r="ABE24" s="133"/>
      <c r="ABF24" s="133"/>
      <c r="ABG24" s="133"/>
      <c r="ABH24" s="133"/>
      <c r="ABI24" s="133"/>
      <c r="ABJ24" s="133"/>
      <c r="ABK24" s="133"/>
      <c r="ABL24" s="133"/>
      <c r="ABM24" s="133"/>
      <c r="ABN24" s="133"/>
      <c r="ABO24" s="133"/>
      <c r="ABP24" s="133"/>
      <c r="ABQ24" s="133"/>
      <c r="ABR24" s="133"/>
      <c r="ABS24" s="133"/>
      <c r="ABT24" s="133"/>
      <c r="ABU24" s="133"/>
      <c r="ABV24" s="133"/>
      <c r="ABW24" s="133"/>
      <c r="ABX24" s="133"/>
      <c r="ABY24" s="133"/>
      <c r="ABZ24" s="133"/>
      <c r="ACA24" s="133"/>
      <c r="ACB24" s="133"/>
      <c r="ACC24" s="133"/>
      <c r="ACD24" s="133"/>
      <c r="ACE24" s="133"/>
      <c r="ACF24" s="133"/>
      <c r="ACG24" s="133"/>
      <c r="ACH24" s="133"/>
      <c r="ACI24" s="133"/>
      <c r="ACJ24" s="133"/>
      <c r="ACK24" s="133"/>
      <c r="ACL24" s="133"/>
      <c r="ACM24" s="133"/>
      <c r="ACN24" s="133"/>
      <c r="ACO24" s="133"/>
      <c r="ACP24" s="133"/>
      <c r="ACQ24" s="133"/>
      <c r="ACR24" s="133"/>
      <c r="ACS24" s="133"/>
      <c r="ACT24" s="133"/>
      <c r="ACU24" s="133"/>
      <c r="ACV24" s="133"/>
      <c r="ACW24" s="133"/>
      <c r="ACX24" s="133"/>
      <c r="ACY24" s="133"/>
      <c r="ACZ24" s="133"/>
      <c r="ADA24" s="133"/>
      <c r="ADB24" s="133"/>
      <c r="ADC24" s="133"/>
      <c r="ADD24" s="133"/>
      <c r="ADE24" s="133"/>
      <c r="ADF24" s="133"/>
      <c r="ADG24" s="133"/>
      <c r="ADH24" s="133"/>
      <c r="ADI24" s="133"/>
      <c r="ADJ24" s="133"/>
      <c r="ADK24" s="133"/>
      <c r="ADL24" s="133"/>
      <c r="ADM24" s="133"/>
      <c r="ADN24" s="133"/>
      <c r="ADO24" s="133"/>
      <c r="ADP24" s="133"/>
      <c r="ADQ24" s="133"/>
      <c r="ADR24" s="133"/>
      <c r="ADS24" s="133"/>
      <c r="ADT24" s="133"/>
      <c r="ADU24" s="133"/>
      <c r="ADV24" s="133"/>
      <c r="ADW24" s="133"/>
      <c r="ADX24" s="133"/>
      <c r="ADY24" s="133"/>
      <c r="ADZ24" s="133"/>
      <c r="AEA24" s="133"/>
      <c r="AEB24" s="133"/>
      <c r="AEC24" s="133"/>
      <c r="AED24" s="133"/>
      <c r="AEE24" s="133"/>
      <c r="AEF24" s="133"/>
      <c r="AEG24" s="133"/>
      <c r="AEH24" s="133"/>
      <c r="AEI24" s="133"/>
      <c r="AEJ24" s="133"/>
      <c r="AEK24" s="133"/>
      <c r="AEL24" s="133"/>
      <c r="AEM24" s="133"/>
      <c r="AEN24" s="133"/>
      <c r="AEO24" s="133"/>
      <c r="AEP24" s="133"/>
      <c r="AEQ24" s="133"/>
      <c r="AER24" s="133"/>
      <c r="AES24" s="133"/>
      <c r="AET24" s="133"/>
      <c r="AEU24" s="133"/>
      <c r="AEV24" s="133"/>
      <c r="AEW24" s="133"/>
      <c r="AEX24" s="133"/>
      <c r="AEY24" s="133"/>
      <c r="AEZ24" s="133"/>
      <c r="AFA24" s="133"/>
      <c r="AFB24" s="133"/>
      <c r="AFC24" s="133"/>
      <c r="AFD24" s="133"/>
      <c r="AFE24" s="133"/>
      <c r="AFF24" s="133"/>
      <c r="AFG24" s="133"/>
      <c r="AFH24" s="133"/>
      <c r="AFI24" s="133"/>
      <c r="AFJ24" s="133"/>
      <c r="AFK24" s="133"/>
      <c r="AFL24" s="133"/>
      <c r="AFM24" s="133"/>
      <c r="AFN24" s="133"/>
      <c r="AFO24" s="133"/>
      <c r="AFP24" s="133"/>
      <c r="AFQ24" s="133"/>
      <c r="AFR24" s="133"/>
      <c r="AFS24" s="133"/>
      <c r="AFT24" s="133"/>
      <c r="AFU24" s="133"/>
      <c r="AFV24" s="133"/>
      <c r="AFW24" s="133"/>
      <c r="AFX24" s="133"/>
      <c r="AFY24" s="133"/>
      <c r="AFZ24" s="133"/>
      <c r="AGA24" s="133"/>
      <c r="AGB24" s="133"/>
      <c r="AGC24" s="133"/>
      <c r="AGD24" s="133"/>
      <c r="AGE24" s="133"/>
      <c r="AGF24" s="133"/>
      <c r="AGG24" s="133"/>
      <c r="AGH24" s="133"/>
      <c r="AGI24" s="133"/>
      <c r="AGJ24" s="133"/>
      <c r="AGK24" s="133"/>
      <c r="AGL24" s="133"/>
      <c r="AGM24" s="133"/>
      <c r="AGN24" s="133"/>
      <c r="AGO24" s="133"/>
      <c r="AGP24" s="133"/>
      <c r="AGQ24" s="133"/>
      <c r="AGR24" s="133"/>
      <c r="AGS24" s="133"/>
      <c r="AGT24" s="133"/>
      <c r="AGU24" s="133"/>
      <c r="AGV24" s="133"/>
      <c r="AGW24" s="133"/>
      <c r="AGX24" s="133"/>
      <c r="AGY24" s="133"/>
      <c r="AGZ24" s="133"/>
      <c r="AHA24" s="133"/>
      <c r="AHB24" s="133"/>
      <c r="AHC24" s="133"/>
      <c r="AHD24" s="133"/>
      <c r="AHE24" s="133"/>
      <c r="AHF24" s="133"/>
      <c r="AHG24" s="133"/>
      <c r="AHH24" s="133"/>
      <c r="AHI24" s="133"/>
      <c r="AHJ24" s="133"/>
      <c r="AHK24" s="133"/>
      <c r="AHL24" s="133"/>
      <c r="AHM24" s="133"/>
      <c r="AHN24" s="133"/>
      <c r="AHO24" s="133"/>
      <c r="AHP24" s="133"/>
      <c r="AHQ24" s="133"/>
      <c r="AHR24" s="133"/>
      <c r="AHS24" s="133"/>
      <c r="AHT24" s="133"/>
      <c r="AHU24" s="133"/>
      <c r="AHV24" s="133"/>
      <c r="AHW24" s="133"/>
      <c r="AHX24" s="133"/>
      <c r="AHY24" s="133"/>
      <c r="AHZ24" s="133"/>
      <c r="AIA24" s="133"/>
      <c r="AIB24" s="133"/>
      <c r="AIC24" s="133"/>
      <c r="AID24" s="133"/>
      <c r="AIE24" s="133"/>
      <c r="AIF24" s="133"/>
      <c r="AIG24" s="133"/>
      <c r="AIH24" s="133"/>
      <c r="AII24" s="133"/>
      <c r="AIJ24" s="133"/>
      <c r="AIK24" s="133"/>
      <c r="AIL24" s="133"/>
      <c r="AIM24" s="133"/>
      <c r="AIN24" s="133"/>
      <c r="AIO24" s="133"/>
      <c r="AIP24" s="133"/>
      <c r="AIQ24" s="133"/>
      <c r="AIR24" s="133"/>
      <c r="AIS24" s="133"/>
      <c r="AIT24" s="133"/>
      <c r="AIU24" s="133"/>
      <c r="AIV24" s="133"/>
      <c r="AIW24" s="133"/>
      <c r="AIX24" s="133"/>
      <c r="AIY24" s="133"/>
      <c r="AIZ24" s="133"/>
      <c r="AJA24" s="133"/>
      <c r="AJB24" s="133"/>
      <c r="AJC24" s="133"/>
      <c r="AJD24" s="133"/>
      <c r="AJE24" s="133"/>
      <c r="AJF24" s="133"/>
      <c r="AJG24" s="133"/>
      <c r="AJH24" s="133"/>
      <c r="AJI24" s="133"/>
      <c r="AJJ24" s="133"/>
      <c r="AJK24" s="133"/>
      <c r="AJL24" s="133"/>
      <c r="AJM24" s="133"/>
      <c r="AJN24" s="133"/>
      <c r="AJO24" s="133"/>
      <c r="AJP24" s="133"/>
      <c r="AJQ24" s="133"/>
      <c r="AJR24" s="133"/>
      <c r="AJS24" s="133"/>
      <c r="AJT24" s="133"/>
      <c r="AJU24" s="133"/>
      <c r="AJV24" s="133"/>
      <c r="AJW24" s="133"/>
      <c r="AJX24" s="133"/>
      <c r="AJY24" s="133"/>
      <c r="AJZ24" s="133"/>
      <c r="AKA24" s="133"/>
      <c r="AKB24" s="133"/>
      <c r="AKC24" s="133"/>
      <c r="AKD24" s="133"/>
      <c r="AKE24" s="133"/>
      <c r="AKF24" s="133"/>
      <c r="AKG24" s="133"/>
      <c r="AKH24" s="133"/>
      <c r="AKI24" s="133"/>
      <c r="AKJ24" s="133"/>
      <c r="AKK24" s="133"/>
      <c r="AKL24" s="133"/>
      <c r="AKM24" s="133"/>
      <c r="AKN24" s="133"/>
      <c r="AKO24" s="133"/>
      <c r="AKP24" s="133"/>
      <c r="AKQ24" s="133"/>
      <c r="AKR24" s="133"/>
      <c r="AKS24" s="133"/>
      <c r="AKT24" s="133"/>
      <c r="AKU24" s="133"/>
      <c r="AKV24" s="133"/>
      <c r="AKW24" s="133"/>
      <c r="AKX24" s="133"/>
      <c r="AKY24" s="133"/>
      <c r="AKZ24" s="133"/>
      <c r="ALA24" s="133"/>
      <c r="ALB24" s="133"/>
      <c r="ALC24" s="133"/>
      <c r="ALD24" s="133"/>
      <c r="ALE24" s="133"/>
    </row>
    <row r="25" spans="1:993" ht="71.25" customHeight="1"/>
    <row r="26" spans="1:993">
      <c r="C26" s="321"/>
      <c r="D26" s="321"/>
      <c r="E26" s="321"/>
      <c r="F26" s="321"/>
      <c r="G26" s="116"/>
      <c r="H26" s="116"/>
    </row>
    <row r="27" spans="1:993">
      <c r="C27" s="321"/>
      <c r="D27" s="321"/>
      <c r="E27" s="321"/>
      <c r="F27" s="321"/>
    </row>
    <row r="29" spans="1:993" s="794" customFormat="1" ht="19.5" customHeight="1">
      <c r="A29" s="792"/>
      <c r="B29" s="792"/>
      <c r="C29" s="795" t="str">
        <f>IF(B20="","Odaberite standard na listu s osnovnim podacima.","Kontrolni broj: "&amp;MID(H1,2,LEN(H1)-2))</f>
        <v>Kontrolni broj: 353334305598</v>
      </c>
      <c r="D29" s="793"/>
      <c r="E29" s="793"/>
      <c r="F29" s="790" t="s">
        <v>2383</v>
      </c>
    </row>
  </sheetData>
  <sheetProtection sheet="1" objects="1" scenarios="1"/>
  <mergeCells count="6">
    <mergeCell ref="C20:F20"/>
    <mergeCell ref="C1:F1"/>
    <mergeCell ref="H1:H16"/>
    <mergeCell ref="C10:F10"/>
    <mergeCell ref="D12:F12"/>
    <mergeCell ref="C17:F17"/>
  </mergeCells>
  <conditionalFormatting sqref="C29">
    <cfRule type="containsText" dxfId="4" priority="2" operator="containsText" text="Odaberite">
      <formula>NOT(ISERROR(SEARCH("Odaberite",C29)))</formula>
    </cfRule>
  </conditionalFormatting>
  <pageMargins left="0.78740157480314965" right="0.27559055118110237" top="0.11811023622047245" bottom="7.874015748031496E-2" header="0" footer="0"/>
  <pageSetup paperSize="9" scale="79" firstPageNumber="0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3EC331-3DFD-4DF6-9D57-EC74814E5CDE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C1:F3 H1 C26:F29 C5:F22 C23:D23 F23 C24:F24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1">
    <tabColor theme="7" tint="-0.499984740745262"/>
    <pageSetUpPr fitToPage="1"/>
  </sheetPr>
  <dimension ref="A1:AMJ40"/>
  <sheetViews>
    <sheetView showGridLines="0" view="pageLayout" topLeftCell="B26" zoomScale="60" zoomScaleNormal="70" zoomScaleSheetLayoutView="25" zoomScalePageLayoutView="60" workbookViewId="0">
      <selection activeCell="M33" sqref="M33"/>
    </sheetView>
  </sheetViews>
  <sheetFormatPr defaultColWidth="9.140625" defaultRowHeight="23.25"/>
  <cols>
    <col min="1" max="1" width="28.28515625" style="28" hidden="1" customWidth="1"/>
    <col min="2" max="2" width="16.28515625" style="15" customWidth="1"/>
    <col min="3" max="3" width="9.28515625" style="15" customWidth="1"/>
    <col min="4" max="5" width="9.140625" style="15" customWidth="1"/>
    <col min="6" max="6" width="15.7109375" style="15" customWidth="1"/>
    <col min="7" max="7" width="9.28515625" style="15" customWidth="1"/>
    <col min="8" max="8" width="6.140625" style="15" customWidth="1"/>
    <col min="9" max="9" width="7.7109375" style="15" customWidth="1"/>
    <col min="10" max="16" width="9.140625" style="15" customWidth="1"/>
    <col min="17" max="17" width="4.28515625" style="13" customWidth="1"/>
    <col min="18" max="18" width="6.42578125" style="13" customWidth="1"/>
    <col min="19" max="19" width="4.28515625" style="13" customWidth="1"/>
    <col min="20" max="1024" width="9.140625" style="15" customWidth="1"/>
    <col min="1025" max="1025" width="9.140625" customWidth="1"/>
  </cols>
  <sheetData>
    <row r="1" spans="1:19" ht="36" customHeight="1">
      <c r="B1" s="355" t="str">
        <f>IF(OsnPodaci!$B$4="","",OsnPodaci!$B$4)</f>
        <v>ZIF " prevent INVEST " d.d.</v>
      </c>
      <c r="C1" s="346"/>
      <c r="D1" s="346"/>
      <c r="E1" s="346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1624" t="str">
        <f ca="1">CONCATENATE("*",'#Konverter'!AD28,A17,"*")</f>
        <v>*36004023345004*</v>
      </c>
      <c r="S1" s="12"/>
    </row>
    <row r="2" spans="1:19" ht="36" customHeight="1">
      <c r="B2" s="796" t="str">
        <f>CONCATENATE(OsnPodaci!$A$13,", ",OsnPodaci!$A$10)</f>
        <v>Bulevar Meše Selimovića 16, Sarajevo-Novi Grad</v>
      </c>
      <c r="C2" s="348"/>
      <c r="D2" s="348"/>
      <c r="E2" s="348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230"/>
      <c r="R2" s="1624"/>
    </row>
    <row r="3" spans="1:19" ht="36" customHeight="1">
      <c r="B3" s="796" t="str">
        <f>CONCATENATE("JIB: ",OsnPodaci!$A$4)</f>
        <v>JIB: 4200191740002</v>
      </c>
      <c r="C3" s="348"/>
      <c r="D3" s="348"/>
      <c r="E3" s="348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230"/>
      <c r="R3" s="1624"/>
    </row>
    <row r="4" spans="1:19" ht="26.25" customHeight="1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230"/>
      <c r="R4" s="1624"/>
    </row>
    <row r="5" spans="1:19" ht="26.25" customHeight="1">
      <c r="B5" s="347"/>
      <c r="C5" s="347"/>
      <c r="D5" s="347"/>
      <c r="E5" s="349"/>
      <c r="F5" s="349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230"/>
      <c r="R5" s="1624"/>
    </row>
    <row r="6" spans="1:19" ht="21" customHeight="1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230"/>
      <c r="R6" s="1624"/>
    </row>
    <row r="7" spans="1:19" ht="25.5"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230"/>
      <c r="R7" s="1624"/>
    </row>
    <row r="8" spans="1:19" ht="30.75" customHeight="1"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797" t="s">
        <v>2679</v>
      </c>
      <c r="Q8" s="159"/>
      <c r="R8" s="1624"/>
    </row>
    <row r="9" spans="1:19" ht="30.75" customHeight="1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797" t="s">
        <v>2680</v>
      </c>
      <c r="Q9" s="159"/>
      <c r="R9" s="1624"/>
    </row>
    <row r="10" spans="1:19" ht="83.25" customHeight="1"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1"/>
      <c r="R10" s="1624"/>
    </row>
    <row r="11" spans="1:19" ht="33">
      <c r="B11" s="1623" t="s">
        <v>2693</v>
      </c>
      <c r="C11" s="1623"/>
      <c r="D11" s="1623"/>
      <c r="E11" s="1623"/>
      <c r="F11" s="1623"/>
      <c r="G11" s="1623"/>
      <c r="H11" s="1623"/>
      <c r="I11" s="1623"/>
      <c r="J11" s="1623"/>
      <c r="K11" s="1623"/>
      <c r="L11" s="1623"/>
      <c r="M11" s="1623"/>
      <c r="N11" s="1623"/>
      <c r="O11" s="1623"/>
      <c r="P11" s="1623"/>
      <c r="Q11" s="1623"/>
      <c r="R11" s="1624"/>
    </row>
    <row r="12" spans="1:19" ht="30.75">
      <c r="B12" s="352" t="str">
        <f>IF(LEFT(OsnPodaci!$A$55,6)&lt;&gt;"Izjava","NE POPUNJAVATI, NE ŠTAMPATI I NE BRISATI OVAJ OBRAZAC!","")</f>
        <v>NE POPUNJAVATI, NE ŠTAMPATI I NE BRISATI OVAJ OBRAZAC!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272"/>
      <c r="R12" s="1624"/>
    </row>
    <row r="13" spans="1:19"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272"/>
      <c r="R13" s="1624"/>
    </row>
    <row r="14" spans="1:19" ht="37.5" customHeight="1">
      <c r="B14" s="350" t="s">
        <v>2694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47"/>
      <c r="P14" s="347"/>
      <c r="Q14" s="230"/>
      <c r="R14" s="1624"/>
    </row>
    <row r="15" spans="1:19" ht="37.5" customHeight="1">
      <c r="A15" s="28">
        <f t="array" aca="1" ref="A15" ca="1">IF(ISERROR(ABS(SUM(CODE(MID((B1),ROW(INDIRECT("1:"&amp;LEN(B1))),1))))),"",ABS(SUM(CODE(MID((B1),ROW(INDIRECT("1:"&amp;LEN(B1))),1)))))</f>
        <v>1998</v>
      </c>
      <c r="B15" s="350" t="s">
        <v>2695</v>
      </c>
      <c r="C15" s="354"/>
      <c r="D15" s="350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55"/>
      <c r="P15" s="355"/>
      <c r="Q15" s="355"/>
      <c r="R15" s="1624"/>
    </row>
    <row r="16" spans="1:19" ht="41.25" customHeight="1">
      <c r="A16" s="39">
        <f ca="1">IF(ISERROR(LOG(1+A15,EXP(1))),"",LOG(1+A15,EXP(1)))</f>
        <v>7.6004023345003997</v>
      </c>
      <c r="B16" s="1621" t="str">
        <f>$B$1</f>
        <v>ZIF " prevent INVEST " d.d.</v>
      </c>
      <c r="C16" s="1621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  <c r="O16" s="1621"/>
      <c r="P16" s="1621"/>
      <c r="Q16" s="230"/>
      <c r="R16" s="1624"/>
    </row>
    <row r="17" spans="1:33" ht="37.5" customHeight="1">
      <c r="A17" s="26" t="str">
        <f ca="1">IF(ISERROR(IF(ISERROR(MID(A16,FIND(".",A16,1)+2,15)),MID(A16,FIND(",",A16,1)+2,15),MID(A16,FIND(".",A16,1)+2,15))),"",IF(ISERROR(MID(A16,FIND(".",A16,1)+2,15)),MID(A16,FIND(",",A16,1)+2,15),MID(A16,FIND(".",A16,1)+2,15)))</f>
        <v>004023345004</v>
      </c>
      <c r="B17" s="350"/>
      <c r="C17" s="354"/>
      <c r="D17" s="356"/>
      <c r="E17" s="356"/>
      <c r="F17" s="354"/>
      <c r="G17" s="354"/>
      <c r="H17" s="356"/>
      <c r="I17" s="354"/>
      <c r="J17" s="354"/>
      <c r="K17" s="354"/>
      <c r="L17" s="354"/>
      <c r="M17" s="354"/>
      <c r="N17" s="354"/>
      <c r="O17" s="347"/>
      <c r="P17" s="347"/>
      <c r="Q17" s="230"/>
      <c r="R17" s="1624"/>
    </row>
    <row r="18" spans="1:33" ht="37.5" customHeight="1">
      <c r="B18" s="350" t="str">
        <f>CONCATENATE("registrovano dana ",IF(OsnPodaci!A7="","-",TEXT(OsnPodaci!A7,"d.m.yyyy.")),", izjavljuje da do ",DAY(OsnPodaci!$B$58),".",MONTH(OsnPodaci!$B$58),".",YEAR(OsnPodaci!$B$58),". godine")</f>
        <v>registrovano dana -, izjavljuje da do 31.12.2022. godine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47"/>
      <c r="P18" s="347"/>
      <c r="Q18" s="230"/>
      <c r="R18" s="1624"/>
    </row>
    <row r="19" spans="1:33" ht="39" customHeight="1">
      <c r="B19" s="350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8"/>
      <c r="P19" s="358"/>
      <c r="Q19" s="272"/>
    </row>
    <row r="20" spans="1:33" ht="36" customHeight="1">
      <c r="B20" s="1622" t="s">
        <v>2696</v>
      </c>
      <c r="C20" s="1622"/>
      <c r="D20" s="1622"/>
      <c r="E20" s="1622"/>
      <c r="F20" s="1622"/>
      <c r="G20" s="1622"/>
      <c r="H20" s="1622"/>
      <c r="I20" s="1622"/>
      <c r="J20" s="1622"/>
      <c r="K20" s="1622"/>
      <c r="L20" s="1622"/>
      <c r="M20" s="1622"/>
      <c r="N20" s="1622"/>
      <c r="O20" s="1622"/>
      <c r="P20" s="1622"/>
      <c r="Q20" s="272"/>
      <c r="R20" s="272"/>
    </row>
    <row r="21" spans="1:33"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272"/>
      <c r="R21" s="272"/>
    </row>
    <row r="22" spans="1:33"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272"/>
      <c r="R22" s="272"/>
    </row>
    <row r="23" spans="1:33" s="16" customFormat="1">
      <c r="A23" s="27"/>
      <c r="B23" s="350" t="str">
        <f>CONCATENATE("U skladu s navedenim, pravno lice nije dužno podnijeti finansijske izvještaje za "&amp;TEXT(OsnPodaci!B58,"yyyy")&amp;". godini")</f>
        <v>U skladu s navedenim, pravno lice nije dužno podnijeti finansijske izvještaje za 2022. godini</v>
      </c>
      <c r="C23" s="165"/>
      <c r="D23" s="165"/>
      <c r="E23" s="165"/>
      <c r="F23" s="165"/>
      <c r="G23" s="165"/>
      <c r="H23" s="359"/>
      <c r="I23" s="359"/>
      <c r="J23" s="359"/>
      <c r="K23" s="359"/>
      <c r="L23" s="360"/>
      <c r="M23" s="359"/>
      <c r="N23" s="359"/>
      <c r="O23" s="165"/>
      <c r="P23" s="359"/>
      <c r="Q23" s="359"/>
      <c r="R23" s="359"/>
      <c r="S23" s="38"/>
      <c r="T23" s="38"/>
      <c r="U23" s="38"/>
      <c r="V23" s="38"/>
      <c r="W23" s="38"/>
      <c r="X23" s="42"/>
      <c r="Y23" s="42"/>
      <c r="Z23" s="42"/>
      <c r="AA23" s="42"/>
      <c r="AB23" s="42"/>
      <c r="AC23" s="42"/>
      <c r="AG23" s="38"/>
    </row>
    <row r="24" spans="1:33" ht="55.5" customHeight="1">
      <c r="B24" s="359"/>
      <c r="C24" s="350"/>
      <c r="D24" s="350"/>
      <c r="E24" s="350"/>
      <c r="F24" s="350"/>
      <c r="G24" s="350"/>
      <c r="H24" s="359"/>
      <c r="I24" s="359"/>
      <c r="J24" s="359"/>
      <c r="K24" s="359"/>
      <c r="L24" s="360"/>
      <c r="M24" s="359"/>
      <c r="N24" s="359"/>
      <c r="O24" s="359"/>
      <c r="P24" s="359"/>
      <c r="Q24" s="359"/>
      <c r="R24" s="359"/>
      <c r="S24" s="38"/>
      <c r="T24" s="38"/>
      <c r="U24" s="38"/>
      <c r="V24" s="38"/>
      <c r="W24" s="38"/>
      <c r="Y24" s="41"/>
      <c r="Z24" s="41"/>
      <c r="AA24" s="41"/>
      <c r="AB24" s="41"/>
      <c r="AC24" s="41"/>
      <c r="AG24" s="38"/>
    </row>
    <row r="25" spans="1:33" ht="55.5" customHeight="1"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272"/>
      <c r="R25" s="272"/>
    </row>
    <row r="26" spans="1:33" ht="55.5" customHeight="1">
      <c r="B26" s="358"/>
      <c r="C26" s="358"/>
      <c r="D26" s="358"/>
      <c r="E26" s="358"/>
      <c r="F26" s="358"/>
      <c r="G26" s="350"/>
      <c r="H26" s="350"/>
      <c r="I26" s="358"/>
      <c r="J26" s="350"/>
      <c r="K26" s="361"/>
      <c r="L26" s="361"/>
      <c r="M26" s="361"/>
      <c r="N26" s="243"/>
      <c r="O26" s="358"/>
      <c r="P26" s="358"/>
      <c r="Q26" s="362"/>
      <c r="R26" s="272"/>
      <c r="S26" s="50"/>
    </row>
    <row r="27" spans="1:33" ht="55.5" customHeight="1">
      <c r="B27" s="350"/>
      <c r="C27" s="350"/>
      <c r="D27" s="350"/>
      <c r="E27" s="350"/>
      <c r="F27" s="350"/>
      <c r="G27" s="350"/>
      <c r="H27" s="350"/>
      <c r="I27" s="350"/>
      <c r="J27" s="350"/>
      <c r="K27" s="347"/>
      <c r="L27" s="347"/>
      <c r="M27" s="347"/>
      <c r="N27" s="347"/>
      <c r="O27" s="358"/>
      <c r="P27" s="350"/>
      <c r="Q27" s="362"/>
      <c r="R27" s="272"/>
      <c r="S27" s="50"/>
    </row>
    <row r="28" spans="1:33" ht="55.5" customHeight="1">
      <c r="B28" s="350"/>
      <c r="C28" s="350"/>
      <c r="D28" s="350"/>
      <c r="E28" s="350"/>
      <c r="F28" s="350"/>
      <c r="G28" s="350"/>
      <c r="H28" s="350"/>
      <c r="I28" s="350"/>
      <c r="J28" s="350"/>
      <c r="K28" s="363"/>
      <c r="L28" s="363"/>
      <c r="M28" s="363"/>
      <c r="N28" s="363"/>
      <c r="O28" s="358"/>
      <c r="P28" s="350"/>
      <c r="Q28" s="272"/>
      <c r="R28" s="272"/>
      <c r="S28" s="50"/>
    </row>
    <row r="29" spans="1:33" ht="55.5" customHeight="1"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8"/>
      <c r="M29" s="358"/>
      <c r="N29" s="358"/>
      <c r="O29" s="358"/>
      <c r="P29" s="350"/>
      <c r="Q29" s="272"/>
      <c r="R29" s="272"/>
      <c r="S29" s="50"/>
    </row>
    <row r="30" spans="1:33" ht="55.5" customHeight="1"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8"/>
      <c r="M30" s="358"/>
      <c r="N30" s="358"/>
      <c r="O30" s="358"/>
      <c r="P30" s="350"/>
      <c r="Q30" s="272"/>
      <c r="R30" s="272"/>
      <c r="S30" s="50"/>
    </row>
    <row r="31" spans="1:33" ht="21" customHeight="1"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272"/>
      <c r="R31" s="272"/>
      <c r="S31" s="50"/>
    </row>
    <row r="32" spans="1:33">
      <c r="B32" s="1620" t="str">
        <f>IF(OsnPodaci!D58="","",TEXT(OsnPodaci!D58,"dd.mm.yyyy."))</f>
        <v>28.02.2023.</v>
      </c>
      <c r="C32" s="162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798"/>
      <c r="O32" s="798"/>
      <c r="P32" s="798" t="str">
        <f>CONCATENATE(OsnPodaci!$A$31," ",OsnPodaci!$B$31)</f>
        <v>Dženan Prevljak</v>
      </c>
      <c r="Q32" s="272"/>
      <c r="R32" s="272"/>
      <c r="S32" s="50"/>
    </row>
    <row r="33" spans="1:1024" ht="36.75" customHeight="1">
      <c r="B33" s="801" t="s">
        <v>2614</v>
      </c>
      <c r="C33" s="350"/>
      <c r="D33" s="350"/>
      <c r="E33" s="350"/>
      <c r="F33" s="350"/>
      <c r="G33" s="350"/>
      <c r="H33" s="799" t="s">
        <v>2687</v>
      </c>
      <c r="I33" s="350"/>
      <c r="J33" s="350"/>
      <c r="K33" s="350"/>
      <c r="L33" s="350"/>
      <c r="M33" s="350"/>
      <c r="N33" s="800"/>
      <c r="O33" s="800"/>
      <c r="P33" s="802" t="s">
        <v>1951</v>
      </c>
      <c r="Q33" s="272"/>
      <c r="R33" s="272"/>
      <c r="S33" s="50"/>
    </row>
    <row r="34" spans="1:1024" ht="21" customHeight="1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272"/>
      <c r="R34" s="272"/>
      <c r="S34" s="50"/>
    </row>
    <row r="35" spans="1:1024" ht="21" customHeight="1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272"/>
      <c r="R35" s="272"/>
      <c r="S35" s="50"/>
    </row>
    <row r="36" spans="1:1024" ht="21" customHeight="1"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272"/>
      <c r="R36" s="272"/>
      <c r="S36" s="50"/>
    </row>
    <row r="37" spans="1:1024" ht="21" customHeight="1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272"/>
      <c r="R37" s="272"/>
      <c r="S37" s="50"/>
    </row>
    <row r="38" spans="1:1024">
      <c r="A38" s="43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50"/>
      <c r="Q38" s="272"/>
      <c r="R38" s="272"/>
    </row>
    <row r="39" spans="1:1024" s="53" customFormat="1">
      <c r="A39" s="54"/>
      <c r="B39" s="804" t="str">
        <f ca="1">IF(A17="","Obrazac prazan - unesite podatke na barem jednu poziciju.","Kontrolni broj: "&amp;MID(R1,2,LEN(R1)-2))</f>
        <v>Kontrolni broj: 36004023345004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803" t="s">
        <v>2383</v>
      </c>
      <c r="Q39" s="266"/>
      <c r="R39" s="266"/>
      <c r="S39" s="5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  <c r="LU39" s="55"/>
      <c r="LV39" s="55"/>
      <c r="LW39" s="55"/>
      <c r="LX39" s="55"/>
      <c r="LY39" s="55"/>
      <c r="LZ39" s="55"/>
      <c r="MA39" s="55"/>
      <c r="MB39" s="55"/>
      <c r="MC39" s="55"/>
      <c r="MD39" s="55"/>
      <c r="ME39" s="55"/>
      <c r="MF39" s="55"/>
      <c r="MG39" s="55"/>
      <c r="MH39" s="55"/>
      <c r="MI39" s="55"/>
      <c r="MJ39" s="55"/>
      <c r="MK39" s="55"/>
      <c r="ML39" s="55"/>
      <c r="MM39" s="55"/>
      <c r="MN39" s="55"/>
      <c r="MO39" s="55"/>
      <c r="MP39" s="55"/>
      <c r="MQ39" s="55"/>
      <c r="MR39" s="55"/>
      <c r="MS39" s="55"/>
      <c r="MT39" s="55"/>
      <c r="MU39" s="55"/>
      <c r="MV39" s="55"/>
      <c r="MW39" s="55"/>
      <c r="MX39" s="55"/>
      <c r="MY39" s="55"/>
      <c r="MZ39" s="55"/>
      <c r="NA39" s="55"/>
      <c r="NB39" s="55"/>
      <c r="NC39" s="55"/>
      <c r="ND39" s="55"/>
      <c r="NE39" s="55"/>
      <c r="NF39" s="55"/>
      <c r="NG39" s="55"/>
      <c r="NH39" s="55"/>
      <c r="NI39" s="55"/>
      <c r="NJ39" s="55"/>
      <c r="NK39" s="55"/>
      <c r="NL39" s="55"/>
      <c r="NM39" s="55"/>
      <c r="NN39" s="55"/>
      <c r="NO39" s="55"/>
      <c r="NP39" s="55"/>
      <c r="NQ39" s="55"/>
      <c r="NR39" s="55"/>
      <c r="NS39" s="55"/>
      <c r="NT39" s="55"/>
      <c r="NU39" s="55"/>
      <c r="NV39" s="55"/>
      <c r="NW39" s="55"/>
      <c r="NX39" s="55"/>
      <c r="NY39" s="55"/>
      <c r="NZ39" s="55"/>
      <c r="OA39" s="55"/>
      <c r="OB39" s="55"/>
      <c r="OC39" s="55"/>
      <c r="OD39" s="55"/>
      <c r="OE39" s="55"/>
      <c r="OF39" s="55"/>
      <c r="OG39" s="55"/>
      <c r="OH39" s="55"/>
      <c r="OI39" s="55"/>
      <c r="OJ39" s="55"/>
      <c r="OK39" s="55"/>
      <c r="OL39" s="55"/>
      <c r="OM39" s="55"/>
      <c r="ON39" s="55"/>
      <c r="OO39" s="55"/>
      <c r="OP39" s="55"/>
      <c r="OQ39" s="55"/>
      <c r="OR39" s="55"/>
      <c r="OS39" s="55"/>
      <c r="OT39" s="55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 s="55"/>
      <c r="SP39" s="55"/>
      <c r="SQ39" s="55"/>
      <c r="SR39" s="55"/>
      <c r="SS39" s="55"/>
      <c r="ST39" s="55"/>
      <c r="SU39" s="55"/>
      <c r="SV39" s="55"/>
      <c r="SW39" s="55"/>
      <c r="SX39" s="55"/>
      <c r="SY39" s="55"/>
      <c r="SZ39" s="55"/>
      <c r="TA39" s="55"/>
      <c r="TB39" s="55"/>
      <c r="TC39" s="55"/>
      <c r="TD39" s="55"/>
      <c r="TE39" s="55"/>
      <c r="TF39" s="55"/>
      <c r="TG39" s="55"/>
      <c r="TH39" s="55"/>
      <c r="TI39" s="55"/>
      <c r="TJ39" s="55"/>
      <c r="TK39" s="55"/>
      <c r="TL39" s="55"/>
      <c r="TM39" s="55"/>
      <c r="TN39" s="55"/>
      <c r="TO39" s="55"/>
      <c r="TP39" s="55"/>
      <c r="TQ39" s="55"/>
      <c r="TR39" s="55"/>
      <c r="TS39" s="55"/>
      <c r="TT39" s="55"/>
      <c r="TU39" s="55"/>
      <c r="TV39" s="55"/>
      <c r="TW39" s="55"/>
      <c r="TX39" s="55"/>
      <c r="TY39" s="55"/>
      <c r="TZ39" s="55"/>
      <c r="UA39" s="55"/>
      <c r="UB39" s="55"/>
      <c r="UC39" s="55"/>
      <c r="UD39" s="55"/>
      <c r="UE39" s="55"/>
      <c r="UF39" s="55"/>
      <c r="UG39" s="55"/>
      <c r="UH39" s="55"/>
      <c r="UI39" s="55"/>
      <c r="UJ39" s="55"/>
      <c r="UK39" s="55"/>
      <c r="UL39" s="55"/>
      <c r="UM39" s="55"/>
      <c r="UN39" s="55"/>
      <c r="UO39" s="55"/>
      <c r="UP39" s="55"/>
      <c r="UQ39" s="55"/>
      <c r="UR39" s="55"/>
      <c r="US39" s="55"/>
      <c r="UT39" s="55"/>
      <c r="UU39" s="55"/>
      <c r="UV39" s="55"/>
      <c r="UW39" s="55"/>
      <c r="UX39" s="55"/>
      <c r="UY39" s="55"/>
      <c r="UZ39" s="55"/>
      <c r="VA39" s="55"/>
      <c r="VB39" s="55"/>
      <c r="VC39" s="55"/>
      <c r="VD39" s="55"/>
      <c r="VE39" s="55"/>
      <c r="VF39" s="55"/>
      <c r="VG39" s="55"/>
      <c r="VH39" s="55"/>
      <c r="VI39" s="55"/>
      <c r="VJ39" s="55"/>
      <c r="VK39" s="55"/>
      <c r="VL39" s="55"/>
      <c r="VM39" s="55"/>
      <c r="VN39" s="55"/>
      <c r="VO39" s="55"/>
      <c r="VP39" s="55"/>
      <c r="VQ39" s="55"/>
      <c r="VR39" s="55"/>
      <c r="VS39" s="55"/>
      <c r="VT39" s="55"/>
      <c r="VU39" s="55"/>
      <c r="VV39" s="55"/>
      <c r="VW39" s="55"/>
      <c r="VX39" s="55"/>
      <c r="VY39" s="55"/>
      <c r="VZ39" s="55"/>
      <c r="WA39" s="55"/>
      <c r="WB39" s="55"/>
      <c r="WC39" s="55"/>
      <c r="WD39" s="55"/>
      <c r="WE39" s="55"/>
      <c r="WF39" s="55"/>
      <c r="WG39" s="55"/>
      <c r="WH39" s="55"/>
      <c r="WI39" s="55"/>
      <c r="WJ39" s="55"/>
      <c r="WK39" s="55"/>
      <c r="WL39" s="55"/>
      <c r="WM39" s="55"/>
      <c r="WN39" s="55"/>
      <c r="WO39" s="55"/>
      <c r="WP39" s="55"/>
      <c r="WQ39" s="55"/>
      <c r="WR39" s="55"/>
      <c r="WS39" s="55"/>
      <c r="WT39" s="55"/>
      <c r="WU39" s="55"/>
      <c r="WV39" s="55"/>
      <c r="WW39" s="55"/>
      <c r="WX39" s="55"/>
      <c r="WY39" s="55"/>
      <c r="WZ39" s="55"/>
      <c r="XA39" s="55"/>
      <c r="XB39" s="55"/>
      <c r="XC39" s="55"/>
      <c r="XD39" s="55"/>
      <c r="XE39" s="55"/>
      <c r="XF39" s="55"/>
      <c r="XG39" s="55"/>
      <c r="XH39" s="55"/>
      <c r="XI39" s="55"/>
      <c r="XJ39" s="55"/>
      <c r="XK39" s="55"/>
      <c r="XL39" s="55"/>
      <c r="XM39" s="55"/>
      <c r="XN39" s="55"/>
      <c r="XO39" s="55"/>
      <c r="XP39" s="55"/>
      <c r="XQ39" s="55"/>
      <c r="XR39" s="55"/>
      <c r="XS39" s="55"/>
      <c r="XT39" s="55"/>
      <c r="XU39" s="55"/>
      <c r="XV39" s="55"/>
      <c r="XW39" s="55"/>
      <c r="XX39" s="55"/>
      <c r="XY39" s="55"/>
      <c r="XZ39" s="55"/>
      <c r="YA39" s="55"/>
      <c r="YB39" s="55"/>
      <c r="YC39" s="55"/>
      <c r="YD39" s="55"/>
      <c r="YE39" s="55"/>
      <c r="YF39" s="55"/>
      <c r="YG39" s="55"/>
      <c r="YH39" s="55"/>
      <c r="YI39" s="55"/>
      <c r="YJ39" s="55"/>
      <c r="YK39" s="55"/>
      <c r="YL39" s="55"/>
      <c r="YM39" s="55"/>
      <c r="YN39" s="55"/>
      <c r="YO39" s="55"/>
      <c r="YP39" s="55"/>
      <c r="YQ39" s="55"/>
      <c r="YR39" s="55"/>
      <c r="YS39" s="55"/>
      <c r="YT39" s="55"/>
      <c r="YU39" s="55"/>
      <c r="YV39" s="55"/>
      <c r="YW39" s="55"/>
      <c r="YX39" s="55"/>
      <c r="YY39" s="55"/>
      <c r="YZ39" s="55"/>
      <c r="ZA39" s="55"/>
      <c r="ZB39" s="55"/>
      <c r="ZC39" s="55"/>
      <c r="ZD39" s="55"/>
      <c r="ZE39" s="55"/>
      <c r="ZF39" s="55"/>
      <c r="ZG39" s="55"/>
      <c r="ZH39" s="55"/>
      <c r="ZI39" s="55"/>
      <c r="ZJ39" s="55"/>
      <c r="ZK39" s="55"/>
      <c r="ZL39" s="55"/>
      <c r="ZM39" s="55"/>
      <c r="ZN39" s="55"/>
      <c r="ZO39" s="55"/>
      <c r="ZP39" s="55"/>
      <c r="ZQ39" s="55"/>
      <c r="ZR39" s="55"/>
      <c r="ZS39" s="55"/>
      <c r="ZT39" s="55"/>
      <c r="ZU39" s="55"/>
      <c r="ZV39" s="55"/>
      <c r="ZW39" s="55"/>
      <c r="ZX39" s="55"/>
      <c r="ZY39" s="55"/>
      <c r="ZZ39" s="55"/>
      <c r="AAA39" s="55"/>
      <c r="AAB39" s="55"/>
      <c r="AAC39" s="55"/>
      <c r="AAD39" s="55"/>
      <c r="AAE39" s="55"/>
      <c r="AAF39" s="55"/>
      <c r="AAG39" s="55"/>
      <c r="AAH39" s="55"/>
      <c r="AAI39" s="55"/>
      <c r="AAJ39" s="55"/>
      <c r="AAK39" s="55"/>
      <c r="AAL39" s="55"/>
      <c r="AAM39" s="55"/>
      <c r="AAN39" s="55"/>
      <c r="AAO39" s="55"/>
      <c r="AAP39" s="55"/>
      <c r="AAQ39" s="55"/>
      <c r="AAR39" s="55"/>
      <c r="AAS39" s="55"/>
      <c r="AAT39" s="55"/>
      <c r="AAU39" s="55"/>
      <c r="AAV39" s="55"/>
      <c r="AAW39" s="55"/>
      <c r="AAX39" s="55"/>
      <c r="AAY39" s="55"/>
      <c r="AAZ39" s="55"/>
      <c r="ABA39" s="55"/>
      <c r="ABB39" s="55"/>
      <c r="ABC39" s="55"/>
      <c r="ABD39" s="55"/>
      <c r="ABE39" s="55"/>
      <c r="ABF39" s="55"/>
      <c r="ABG39" s="55"/>
      <c r="ABH39" s="55"/>
      <c r="ABI39" s="55"/>
      <c r="ABJ39" s="55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  <c r="ACW39" s="55"/>
      <c r="ACX39" s="55"/>
      <c r="ACY39" s="55"/>
      <c r="ACZ39" s="55"/>
      <c r="ADA39" s="55"/>
      <c r="ADB39" s="55"/>
      <c r="ADC39" s="55"/>
      <c r="ADD39" s="55"/>
      <c r="ADE39" s="55"/>
      <c r="ADF39" s="55"/>
      <c r="ADG39" s="55"/>
      <c r="ADH39" s="55"/>
      <c r="ADI39" s="55"/>
      <c r="ADJ39" s="55"/>
      <c r="ADK39" s="55"/>
      <c r="ADL39" s="55"/>
      <c r="ADM39" s="55"/>
      <c r="ADN39" s="55"/>
      <c r="ADO39" s="55"/>
      <c r="ADP39" s="55"/>
      <c r="ADQ39" s="55"/>
      <c r="ADR39" s="55"/>
      <c r="ADS39" s="55"/>
      <c r="ADT39" s="55"/>
      <c r="ADU39" s="55"/>
      <c r="ADV39" s="55"/>
      <c r="ADW39" s="55"/>
      <c r="ADX39" s="55"/>
      <c r="ADY39" s="55"/>
      <c r="ADZ39" s="55"/>
      <c r="AEA39" s="55"/>
      <c r="AEB39" s="55"/>
      <c r="AEC39" s="55"/>
      <c r="AED39" s="55"/>
      <c r="AEE39" s="55"/>
      <c r="AEF39" s="55"/>
      <c r="AEG39" s="55"/>
      <c r="AEH39" s="55"/>
      <c r="AEI39" s="55"/>
      <c r="AEJ39" s="55"/>
      <c r="AEK39" s="55"/>
      <c r="AEL39" s="55"/>
      <c r="AEM39" s="55"/>
      <c r="AEN39" s="55"/>
      <c r="AEO39" s="55"/>
      <c r="AEP39" s="55"/>
      <c r="AEQ39" s="55"/>
      <c r="AER39" s="55"/>
      <c r="AES39" s="55"/>
      <c r="AET39" s="55"/>
      <c r="AEU39" s="55"/>
      <c r="AEV39" s="55"/>
      <c r="AEW39" s="55"/>
      <c r="AEX39" s="55"/>
      <c r="AEY39" s="55"/>
      <c r="AEZ39" s="55"/>
      <c r="AFA39" s="55"/>
      <c r="AFB39" s="55"/>
      <c r="AFC39" s="55"/>
      <c r="AFD39" s="55"/>
      <c r="AFE39" s="55"/>
      <c r="AFF39" s="55"/>
      <c r="AFG39" s="55"/>
      <c r="AFH39" s="55"/>
      <c r="AFI39" s="55"/>
      <c r="AFJ39" s="55"/>
      <c r="AFK39" s="55"/>
      <c r="AFL39" s="55"/>
      <c r="AFM39" s="55"/>
      <c r="AFN39" s="55"/>
      <c r="AFO39" s="55"/>
      <c r="AFP39" s="55"/>
      <c r="AFQ39" s="55"/>
      <c r="AFR39" s="55"/>
      <c r="AFS39" s="55"/>
      <c r="AFT39" s="55"/>
      <c r="AFU39" s="55"/>
      <c r="AFV39" s="55"/>
      <c r="AFW39" s="55"/>
      <c r="AFX39" s="55"/>
      <c r="AFY39" s="55"/>
      <c r="AFZ39" s="55"/>
      <c r="AGA39" s="55"/>
      <c r="AGB39" s="55"/>
      <c r="AGC39" s="55"/>
      <c r="AGD39" s="55"/>
      <c r="AGE39" s="55"/>
      <c r="AGF39" s="55"/>
      <c r="AGG39" s="55"/>
      <c r="AGH39" s="55"/>
      <c r="AGI39" s="55"/>
      <c r="AGJ39" s="55"/>
      <c r="AGK39" s="55"/>
      <c r="AGL39" s="55"/>
      <c r="AGM39" s="55"/>
      <c r="AGN39" s="55"/>
      <c r="AGO39" s="55"/>
      <c r="AGP39" s="55"/>
      <c r="AGQ39" s="55"/>
      <c r="AGR39" s="55"/>
      <c r="AGS39" s="55"/>
      <c r="AGT39" s="55"/>
      <c r="AGU39" s="55"/>
      <c r="AGV39" s="55"/>
      <c r="AGW39" s="55"/>
      <c r="AGX39" s="55"/>
      <c r="AGY39" s="55"/>
      <c r="AGZ39" s="55"/>
      <c r="AHA39" s="55"/>
      <c r="AHB39" s="55"/>
      <c r="AHC39" s="55"/>
      <c r="AHD39" s="55"/>
      <c r="AHE39" s="55"/>
      <c r="AHF39" s="55"/>
      <c r="AHG39" s="55"/>
      <c r="AHH39" s="55"/>
      <c r="AHI39" s="55"/>
      <c r="AHJ39" s="55"/>
      <c r="AHK39" s="55"/>
      <c r="AHL39" s="55"/>
      <c r="AHM39" s="55"/>
      <c r="AHN39" s="55"/>
      <c r="AHO39" s="55"/>
      <c r="AHP39" s="55"/>
      <c r="AHQ39" s="55"/>
      <c r="AHR39" s="55"/>
      <c r="AHS39" s="55"/>
      <c r="AHT39" s="55"/>
      <c r="AHU39" s="55"/>
      <c r="AHV39" s="55"/>
      <c r="AHW39" s="55"/>
      <c r="AHX39" s="55"/>
      <c r="AHY39" s="55"/>
      <c r="AHZ39" s="55"/>
      <c r="AIA39" s="55"/>
      <c r="AIB39" s="55"/>
      <c r="AIC39" s="55"/>
      <c r="AID39" s="55"/>
      <c r="AIE39" s="55"/>
      <c r="AIF39" s="55"/>
      <c r="AIG39" s="55"/>
      <c r="AIH39" s="55"/>
      <c r="AII39" s="55"/>
      <c r="AIJ39" s="55"/>
      <c r="AIK39" s="55"/>
      <c r="AIL39" s="55"/>
      <c r="AIM39" s="55"/>
      <c r="AIN39" s="55"/>
      <c r="AIO39" s="55"/>
      <c r="AIP39" s="55"/>
      <c r="AIQ39" s="55"/>
      <c r="AIR39" s="55"/>
      <c r="AIS39" s="55"/>
      <c r="AIT39" s="55"/>
      <c r="AIU39" s="55"/>
      <c r="AIV39" s="55"/>
      <c r="AIW39" s="55"/>
      <c r="AIX39" s="55"/>
      <c r="AIY39" s="55"/>
      <c r="AIZ39" s="55"/>
      <c r="AJA39" s="55"/>
      <c r="AJB39" s="55"/>
      <c r="AJC39" s="55"/>
      <c r="AJD39" s="55"/>
      <c r="AJE39" s="55"/>
      <c r="AJF39" s="55"/>
      <c r="AJG39" s="55"/>
      <c r="AJH39" s="55"/>
      <c r="AJI39" s="55"/>
      <c r="AJJ39" s="55"/>
      <c r="AJK39" s="55"/>
      <c r="AJL39" s="55"/>
      <c r="AJM39" s="55"/>
      <c r="AJN39" s="55"/>
      <c r="AJO39" s="55"/>
      <c r="AJP39" s="55"/>
      <c r="AJQ39" s="55"/>
      <c r="AJR39" s="55"/>
      <c r="AJS39" s="55"/>
      <c r="AJT39" s="55"/>
      <c r="AJU39" s="55"/>
      <c r="AJV39" s="55"/>
      <c r="AJW39" s="55"/>
      <c r="AJX39" s="55"/>
      <c r="AJY39" s="55"/>
      <c r="AJZ39" s="55"/>
      <c r="AKA39" s="55"/>
      <c r="AKB39" s="55"/>
      <c r="AKC39" s="55"/>
      <c r="AKD39" s="55"/>
      <c r="AKE39" s="55"/>
      <c r="AKF39" s="55"/>
      <c r="AKG39" s="55"/>
      <c r="AKH39" s="55"/>
      <c r="AKI39" s="55"/>
      <c r="AKJ39" s="55"/>
      <c r="AKK39" s="55"/>
      <c r="AKL39" s="55"/>
      <c r="AKM39" s="55"/>
      <c r="AKN39" s="55"/>
      <c r="AKO39" s="55"/>
      <c r="AKP39" s="55"/>
      <c r="AKQ39" s="55"/>
      <c r="AKR39" s="55"/>
      <c r="AKS39" s="55"/>
      <c r="AKT39" s="55"/>
      <c r="AKU39" s="55"/>
      <c r="AKV39" s="55"/>
      <c r="AKW39" s="55"/>
      <c r="AKX39" s="55"/>
      <c r="AKY39" s="55"/>
      <c r="AKZ39" s="55"/>
      <c r="ALA39" s="55"/>
      <c r="ALB39" s="55"/>
      <c r="ALC39" s="55"/>
      <c r="ALD39" s="55"/>
      <c r="ALE39" s="55"/>
      <c r="ALF39" s="55"/>
      <c r="ALG39" s="55"/>
      <c r="ALH39" s="55"/>
      <c r="ALI39" s="55"/>
      <c r="ALJ39" s="55"/>
      <c r="ALK39" s="55"/>
      <c r="ALL39" s="55"/>
      <c r="ALM39" s="55"/>
      <c r="ALN39" s="55"/>
      <c r="ALO39" s="55"/>
      <c r="ALP39" s="55"/>
      <c r="ALQ39" s="55"/>
      <c r="ALR39" s="55"/>
      <c r="ALS39" s="55"/>
      <c r="ALT39" s="55"/>
      <c r="ALU39" s="55"/>
      <c r="ALV39" s="55"/>
      <c r="ALW39" s="55"/>
      <c r="ALX39" s="55"/>
      <c r="ALY39" s="55"/>
      <c r="ALZ39" s="55"/>
      <c r="AMA39" s="55"/>
      <c r="AMB39" s="55"/>
      <c r="AMC39" s="55"/>
      <c r="AMD39" s="55"/>
      <c r="AME39" s="55"/>
      <c r="AMF39" s="55"/>
      <c r="AMG39" s="55"/>
      <c r="AMH39" s="55"/>
      <c r="AMI39" s="55"/>
      <c r="AMJ39" s="55"/>
    </row>
    <row r="40" spans="1:1024"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272"/>
      <c r="R40" s="272"/>
    </row>
  </sheetData>
  <sheetProtection sheet="1" objects="1" scenarios="1"/>
  <mergeCells count="5">
    <mergeCell ref="B32:C32"/>
    <mergeCell ref="B16:P16"/>
    <mergeCell ref="B20:P20"/>
    <mergeCell ref="B11:Q11"/>
    <mergeCell ref="R1:R18"/>
  </mergeCells>
  <conditionalFormatting sqref="B39">
    <cfRule type="containsText" dxfId="2" priority="2" operator="containsText" text="Obrazac prazan">
      <formula>NOT(ISERROR(SEARCH("Obrazac prazan",B39)))</formula>
    </cfRule>
  </conditionalFormatting>
  <pageMargins left="0.82708333333333295" right="0.31527777777777799" top="0.59318181818181814" bottom="0.23611111111111099" header="0.51180555555555496" footer="0.51180555555555496"/>
  <pageSetup paperSize="9" scale="57" firstPageNumber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BAD93C-21B6-46A9-ACEC-CCB03D97632D}">
            <xm:f>LEFT(OsnPodaci!$A$55,5)&lt;&gt;"Izjav"</xm:f>
            <x14:dxf>
              <font>
                <color theme="0"/>
              </font>
            </x14:dxf>
          </x14:cfRule>
          <xm:sqref>B39</xm:sqref>
        </x14:conditionalFormatting>
        <x14:conditionalFormatting xmlns:xm="http://schemas.microsoft.com/office/excel/2006/main">
          <x14:cfRule type="expression" priority="3" id="{7099BBB8-AB25-417B-ADFE-30C21FBB8DBD}">
            <xm:f>LEFT(OsnPodaci!$A$55,5)&lt;&gt;"Izjav"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B13:R39 C12:R12 B1:R11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#Konverter</vt:lpstr>
      <vt:lpstr>#UNOS</vt:lpstr>
      <vt:lpstr>Uputstvo</vt:lpstr>
      <vt:lpstr>OsnPodaci</vt:lpstr>
      <vt:lpstr>BS</vt:lpstr>
      <vt:lpstr>BU</vt:lpstr>
      <vt:lpstr>GTDIR</vt:lpstr>
      <vt:lpstr>IPNI</vt:lpstr>
      <vt:lpstr>PP</vt:lpstr>
      <vt:lpstr>INV01-1</vt:lpstr>
      <vt:lpstr>INV01-2</vt:lpstr>
      <vt:lpstr>VN</vt:lpstr>
      <vt:lpstr>ZS</vt:lpstr>
      <vt:lpstr>ObavijRazvrst</vt:lpstr>
      <vt:lpstr>IzjStandard</vt:lpstr>
      <vt:lpstr>IzjNeaktiv</vt:lpstr>
      <vt:lpstr>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FIA</dc:creator>
  <dc:description/>
  <cp:lastModifiedBy>Amela Mujkić</cp:lastModifiedBy>
  <cp:revision>9</cp:revision>
  <cp:lastPrinted>2023-03-03T14:13:44Z</cp:lastPrinted>
  <dcterms:created xsi:type="dcterms:W3CDTF">2015-06-05T18:17:20Z</dcterms:created>
  <dcterms:modified xsi:type="dcterms:W3CDTF">2024-10-29T11:25:06Z</dcterms:modified>
  <cp:category>Fondovi</cp:category>
  <dc:language>bs-BA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0x0101002E99D5FDAD70204AA08696970B16018E</vt:lpwstr>
  </property>
</Properties>
</file>