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sa2\BLAGO-Mreza\RAZMJENA\FRONT OFFICE II\DOKUMENTI za WEB\Finansijski izvjestaji DUF 2012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Adresa">[1]UnosPod!$F$10</definedName>
    <definedName name="Firma">[1]UnosPod!$F$8</definedName>
    <definedName name="Sjedište">[1]UnosPod!$F$9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2" i="1" l="1"/>
  <c r="J632" i="1"/>
  <c r="J629" i="1"/>
  <c r="J618" i="1"/>
  <c r="J615" i="1"/>
  <c r="N593" i="1"/>
  <c r="J593" i="1"/>
  <c r="N590" i="1"/>
  <c r="AB590" i="1" s="1"/>
  <c r="J590" i="1"/>
  <c r="J579" i="1"/>
  <c r="J576" i="1"/>
  <c r="N566" i="1"/>
  <c r="J565" i="1"/>
  <c r="J562" i="1"/>
  <c r="J551" i="1"/>
  <c r="N549" i="1"/>
  <c r="J548" i="1"/>
  <c r="J531" i="1"/>
  <c r="J528" i="1"/>
  <c r="J517" i="1"/>
  <c r="J514" i="1"/>
  <c r="J501" i="1"/>
  <c r="J498" i="1"/>
  <c r="J487" i="1"/>
  <c r="N484" i="1"/>
  <c r="AB484" i="1" s="1"/>
  <c r="J484" i="1"/>
  <c r="L454" i="1"/>
  <c r="K454" i="1"/>
  <c r="V446" i="1"/>
  <c r="L456" i="1" s="1"/>
  <c r="J446" i="1"/>
  <c r="AH446" i="1" s="1"/>
  <c r="AP446" i="1" s="1"/>
  <c r="AH445" i="1"/>
  <c r="AP445" i="1" s="1"/>
  <c r="AD445" i="1"/>
  <c r="J445" i="1"/>
  <c r="AP444" i="1"/>
  <c r="AH444" i="1"/>
  <c r="AD444" i="1"/>
  <c r="AH443" i="1"/>
  <c r="AP443" i="1" s="1"/>
  <c r="AD443" i="1"/>
  <c r="V443" i="1"/>
  <c r="A438" i="1"/>
  <c r="V434" i="1"/>
  <c r="AD432" i="1" s="1"/>
  <c r="J433" i="1"/>
  <c r="J434" i="1" s="1"/>
  <c r="AH432" i="1"/>
  <c r="AP432" i="1" s="1"/>
  <c r="AH431" i="1"/>
  <c r="AP431" i="1" s="1"/>
  <c r="A426" i="1"/>
  <c r="A424" i="1"/>
  <c r="A422" i="1"/>
  <c r="AL400" i="1"/>
  <c r="AM399" i="1"/>
  <c r="AL399" i="1"/>
  <c r="AM398" i="1"/>
  <c r="AL398" i="1"/>
  <c r="AL395" i="1"/>
  <c r="AM393" i="1"/>
  <c r="AL393" i="1"/>
  <c r="AM392" i="1"/>
  <c r="AL392" i="1"/>
  <c r="Y389" i="1"/>
  <c r="B389" i="1"/>
  <c r="AM376" i="1"/>
  <c r="AM375" i="1"/>
  <c r="AM372" i="1"/>
  <c r="AM370" i="1"/>
  <c r="B368" i="1"/>
  <c r="AD364" i="1"/>
  <c r="AD363" i="1" s="1"/>
  <c r="AL363" i="1" s="1"/>
  <c r="R364" i="1"/>
  <c r="Z364" i="1" s="1"/>
  <c r="R363" i="1"/>
  <c r="AP362" i="1"/>
  <c r="AD362" i="1"/>
  <c r="N580" i="1" s="1"/>
  <c r="R362" i="1"/>
  <c r="AM373" i="1" s="1"/>
  <c r="AD361" i="1"/>
  <c r="AD360" i="1" s="1"/>
  <c r="Z361" i="1"/>
  <c r="R361" i="1"/>
  <c r="R360" i="1"/>
  <c r="N615" i="1" s="1"/>
  <c r="AP359" i="1"/>
  <c r="AL359" i="1"/>
  <c r="AD359" i="1"/>
  <c r="Z359" i="1"/>
  <c r="R359" i="1"/>
  <c r="N591" i="1" s="1"/>
  <c r="AD356" i="1"/>
  <c r="R356" i="1"/>
  <c r="B355" i="1"/>
  <c r="AK328" i="1"/>
  <c r="AK326" i="1"/>
  <c r="AK324" i="1"/>
  <c r="AK321" i="1"/>
  <c r="B319" i="1"/>
  <c r="AP314" i="1"/>
  <c r="AD314" i="1"/>
  <c r="N619" i="1" s="1"/>
  <c r="R314" i="1"/>
  <c r="Z311" i="1" s="1"/>
  <c r="AD313" i="1"/>
  <c r="AM395" i="1" s="1"/>
  <c r="Z313" i="1"/>
  <c r="R313" i="1"/>
  <c r="AD312" i="1"/>
  <c r="AL312" i="1" s="1"/>
  <c r="R312" i="1"/>
  <c r="AP312" i="1" s="1"/>
  <c r="AP311" i="1"/>
  <c r="AL311" i="1"/>
  <c r="AD311" i="1"/>
  <c r="N565" i="1" s="1"/>
  <c r="AB565" i="1" s="1"/>
  <c r="B569" i="1" s="1"/>
  <c r="R311" i="1"/>
  <c r="N548" i="1" s="1"/>
  <c r="AB548" i="1" s="1"/>
  <c r="AU310" i="1"/>
  <c r="AD310" i="1"/>
  <c r="AL310" i="1" s="1"/>
  <c r="AU309" i="1"/>
  <c r="AL309" i="1"/>
  <c r="AD309" i="1"/>
  <c r="R309" i="1"/>
  <c r="AP309" i="1" s="1"/>
  <c r="AU308" i="1"/>
  <c r="AL308" i="1"/>
  <c r="AD308" i="1"/>
  <c r="Z308" i="1"/>
  <c r="R308" i="1"/>
  <c r="AP308" i="1" s="1"/>
  <c r="AP307" i="1"/>
  <c r="AU307" i="1" s="1"/>
  <c r="AL307" i="1"/>
  <c r="AD307" i="1"/>
  <c r="R307" i="1"/>
  <c r="AD306" i="1"/>
  <c r="N579" i="1" s="1"/>
  <c r="R306" i="1"/>
  <c r="N576" i="1" s="1"/>
  <c r="AU304" i="1"/>
  <c r="AP304" i="1"/>
  <c r="AL304" i="1"/>
  <c r="AD304" i="1"/>
  <c r="R304" i="1"/>
  <c r="AU303" i="1"/>
  <c r="AD303" i="1"/>
  <c r="AP303" i="1" s="1"/>
  <c r="Z303" i="1"/>
  <c r="R303" i="1"/>
  <c r="AL302" i="1"/>
  <c r="AD302" i="1"/>
  <c r="R302" i="1"/>
  <c r="AP302" i="1" s="1"/>
  <c r="AU301" i="1"/>
  <c r="A252" i="1" s="1"/>
  <c r="AL301" i="1"/>
  <c r="AD301" i="1"/>
  <c r="AK327" i="1" s="1"/>
  <c r="Z301" i="1"/>
  <c r="R301" i="1"/>
  <c r="AP301" i="1" s="1"/>
  <c r="AU302" i="1" s="1"/>
  <c r="AD298" i="1"/>
  <c r="R298" i="1"/>
  <c r="B297" i="1"/>
  <c r="B295" i="1"/>
  <c r="H290" i="1"/>
  <c r="H289" i="1"/>
  <c r="A288" i="1"/>
  <c r="A279" i="1"/>
  <c r="A253" i="1"/>
  <c r="A251" i="1"/>
  <c r="A250" i="1"/>
  <c r="A249" i="1"/>
  <c r="AI197" i="1"/>
  <c r="AH197" i="1"/>
  <c r="AH198" i="1" s="1"/>
  <c r="AH196" i="1"/>
  <c r="AI195" i="1"/>
  <c r="AH195" i="1"/>
  <c r="B192" i="1"/>
  <c r="Z188" i="1"/>
  <c r="R188" i="1"/>
  <c r="AH188" i="1" s="1"/>
  <c r="Z187" i="1"/>
  <c r="R187" i="1"/>
  <c r="AH187" i="1" s="1"/>
  <c r="Z186" i="1"/>
  <c r="R186" i="1"/>
  <c r="AH186" i="1" s="1"/>
  <c r="Z185" i="1"/>
  <c r="AH185" i="1" s="1"/>
  <c r="R185" i="1"/>
  <c r="Z184" i="1"/>
  <c r="N487" i="1" s="1"/>
  <c r="R184" i="1"/>
  <c r="N498" i="1" s="1"/>
  <c r="AI156" i="1"/>
  <c r="AJ153" i="1"/>
  <c r="AJ152" i="1"/>
  <c r="AI152" i="1"/>
  <c r="Y148" i="1"/>
  <c r="A148" i="1"/>
  <c r="AD144" i="1"/>
  <c r="AD143" i="1"/>
  <c r="N532" i="1" s="1"/>
  <c r="R143" i="1"/>
  <c r="N515" i="1" s="1"/>
  <c r="AD141" i="1"/>
  <c r="AL141" i="1" s="1"/>
  <c r="R141" i="1"/>
  <c r="Z141" i="1" s="1"/>
  <c r="AD140" i="1"/>
  <c r="R140" i="1"/>
  <c r="AP140" i="1" s="1"/>
  <c r="A133" i="1"/>
  <c r="AJ106" i="1"/>
  <c r="AK105" i="1"/>
  <c r="AJ105" i="1"/>
  <c r="AB103" i="1"/>
  <c r="A103" i="1"/>
  <c r="AD100" i="1"/>
  <c r="AI196" i="1" s="1"/>
  <c r="AI198" i="1" s="1"/>
  <c r="Z100" i="1"/>
  <c r="R100" i="1"/>
  <c r="N485" i="1" s="1"/>
  <c r="AP98" i="1"/>
  <c r="AL98" i="1"/>
  <c r="AD98" i="1"/>
  <c r="Z98" i="1"/>
  <c r="R98" i="1"/>
  <c r="AJ110" i="1" s="1"/>
  <c r="AD97" i="1"/>
  <c r="N531" i="1" s="1"/>
  <c r="R97" i="1"/>
  <c r="N528" i="1" s="1"/>
  <c r="A90" i="1"/>
  <c r="A63" i="1"/>
  <c r="G51" i="1"/>
  <c r="G50" i="1"/>
  <c r="AF49" i="1"/>
  <c r="A48" i="1"/>
  <c r="A32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18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10" i="1"/>
  <c r="AT7" i="1"/>
  <c r="AS7" i="1"/>
  <c r="AR7" i="1"/>
  <c r="AT5" i="1"/>
  <c r="AS5" i="1"/>
  <c r="AR5" i="1"/>
  <c r="AQ5" i="1"/>
  <c r="AP5" i="1"/>
  <c r="A5" i="1"/>
  <c r="AT3" i="1"/>
  <c r="AS3" i="1"/>
  <c r="AR3" i="1"/>
  <c r="AQ3" i="1"/>
  <c r="AP3" i="1"/>
  <c r="AO3" i="1"/>
  <c r="AN3" i="1"/>
  <c r="AM3" i="1"/>
  <c r="AL3" i="1"/>
  <c r="AK3" i="1"/>
  <c r="AJ3" i="1"/>
  <c r="AI3" i="1"/>
  <c r="A3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1" i="1"/>
  <c r="N618" i="1" l="1"/>
  <c r="AB618" i="1" s="1"/>
  <c r="B622" i="1" s="1"/>
  <c r="AL360" i="1"/>
  <c r="AB498" i="1"/>
  <c r="B596" i="1"/>
  <c r="AB528" i="1"/>
  <c r="AB593" i="1"/>
  <c r="B597" i="1" s="1"/>
  <c r="AB531" i="1"/>
  <c r="B535" i="1" s="1"/>
  <c r="AB579" i="1"/>
  <c r="B583" i="1" s="1"/>
  <c r="B554" i="1"/>
  <c r="AP363" i="1"/>
  <c r="AB615" i="1"/>
  <c r="R432" i="1"/>
  <c r="R434" i="1"/>
  <c r="K455" i="1"/>
  <c r="AH434" i="1"/>
  <c r="AP434" i="1" s="1"/>
  <c r="A423" i="1" s="1"/>
  <c r="R431" i="1"/>
  <c r="B490" i="1"/>
  <c r="AK329" i="1"/>
  <c r="AL364" i="1"/>
  <c r="R99" i="1"/>
  <c r="AL100" i="1"/>
  <c r="AI157" i="1"/>
  <c r="Z302" i="1"/>
  <c r="AL303" i="1"/>
  <c r="Z309" i="1"/>
  <c r="AL313" i="1"/>
  <c r="AL361" i="1"/>
  <c r="Z363" i="1"/>
  <c r="AP364" i="1"/>
  <c r="AM377" i="1"/>
  <c r="AL394" i="1"/>
  <c r="AD434" i="1"/>
  <c r="N499" i="1"/>
  <c r="N630" i="1"/>
  <c r="AL97" i="1"/>
  <c r="AP100" i="1"/>
  <c r="Z143" i="1"/>
  <c r="R305" i="1"/>
  <c r="AL306" i="1"/>
  <c r="Z312" i="1"/>
  <c r="AP313" i="1"/>
  <c r="AK322" i="1"/>
  <c r="Z360" i="1"/>
  <c r="AP361" i="1"/>
  <c r="AM378" i="1"/>
  <c r="AM394" i="1"/>
  <c r="AM400" i="1"/>
  <c r="AD431" i="1"/>
  <c r="R433" i="1"/>
  <c r="R444" i="1"/>
  <c r="N514" i="1"/>
  <c r="AB514" i="1" s="1"/>
  <c r="N518" i="1"/>
  <c r="N551" i="1"/>
  <c r="AB551" i="1" s="1"/>
  <c r="B555" i="1" s="1"/>
  <c r="N577" i="1"/>
  <c r="AB576" i="1" s="1"/>
  <c r="N517" i="1"/>
  <c r="AB517" i="1" s="1"/>
  <c r="B521" i="1" s="1"/>
  <c r="R101" i="1"/>
  <c r="AP141" i="1"/>
  <c r="N501" i="1"/>
  <c r="N529" i="1"/>
  <c r="N594" i="1"/>
  <c r="AD101" i="1"/>
  <c r="AK106" i="1"/>
  <c r="R142" i="1"/>
  <c r="AL143" i="1"/>
  <c r="AD305" i="1"/>
  <c r="AL305" i="1" s="1"/>
  <c r="Z314" i="1"/>
  <c r="Z362" i="1"/>
  <c r="AM371" i="1"/>
  <c r="AM401" i="1"/>
  <c r="AH433" i="1"/>
  <c r="AP433" i="1" s="1"/>
  <c r="R446" i="1"/>
  <c r="L455" i="1"/>
  <c r="N552" i="1"/>
  <c r="N616" i="1"/>
  <c r="Z97" i="1"/>
  <c r="Z306" i="1"/>
  <c r="AD99" i="1"/>
  <c r="AL99" i="1" s="1"/>
  <c r="Z140" i="1"/>
  <c r="AL401" i="1"/>
  <c r="AD433" i="1"/>
  <c r="AJ109" i="1"/>
  <c r="AL140" i="1"/>
  <c r="AP143" i="1"/>
  <c r="AH184" i="1"/>
  <c r="Z304" i="1"/>
  <c r="Z307" i="1"/>
  <c r="AP360" i="1"/>
  <c r="R443" i="1"/>
  <c r="K456" i="1"/>
  <c r="N502" i="1"/>
  <c r="N563" i="1"/>
  <c r="N629" i="1"/>
  <c r="N633" i="1"/>
  <c r="AB632" i="1" s="1"/>
  <c r="B636" i="1" s="1"/>
  <c r="N488" i="1"/>
  <c r="AB487" i="1" s="1"/>
  <c r="AP97" i="1"/>
  <c r="AP306" i="1"/>
  <c r="AK323" i="1"/>
  <c r="AD142" i="1"/>
  <c r="AL142" i="1" s="1"/>
  <c r="R144" i="1"/>
  <c r="AI153" i="1"/>
  <c r="R310" i="1"/>
  <c r="AL314" i="1"/>
  <c r="AL362" i="1"/>
  <c r="AD446" i="1"/>
  <c r="R445" i="1"/>
  <c r="AJ576" i="1" l="1"/>
  <c r="B584" i="1" s="1"/>
  <c r="B582" i="1"/>
  <c r="AO576" i="1"/>
  <c r="B491" i="1"/>
  <c r="AJ484" i="1"/>
  <c r="AO484" i="1"/>
  <c r="AJ548" i="1"/>
  <c r="AB629" i="1"/>
  <c r="AP102" i="1"/>
  <c r="AP101" i="1"/>
  <c r="AP99" i="1"/>
  <c r="AJ111" i="1"/>
  <c r="Z99" i="1"/>
  <c r="AO548" i="1"/>
  <c r="AO590" i="1"/>
  <c r="AP305" i="1"/>
  <c r="Z305" i="1"/>
  <c r="AJ590" i="1"/>
  <c r="B598" i="1" s="1"/>
  <c r="AP145" i="1"/>
  <c r="AP144" i="1"/>
  <c r="A134" i="1" s="1"/>
  <c r="AO514" i="1"/>
  <c r="AJ514" i="1"/>
  <c r="B522" i="1" s="1"/>
  <c r="B520" i="1"/>
  <c r="B504" i="1"/>
  <c r="AP142" i="1"/>
  <c r="Z142" i="1"/>
  <c r="AI158" i="1"/>
  <c r="B534" i="1"/>
  <c r="AO528" i="1"/>
  <c r="AJ528" i="1"/>
  <c r="B536" i="1" s="1"/>
  <c r="A274" i="1"/>
  <c r="Z310" i="1"/>
  <c r="AP310" i="1"/>
  <c r="N562" i="1"/>
  <c r="AB562" i="1" s="1"/>
  <c r="A275" i="1"/>
  <c r="AB501" i="1"/>
  <c r="B505" i="1" s="1"/>
  <c r="AO615" i="1"/>
  <c r="AJ615" i="1"/>
  <c r="B623" i="1" s="1"/>
  <c r="B621" i="1"/>
  <c r="AJ498" i="1" l="1"/>
  <c r="B506" i="1" s="1"/>
  <c r="AO629" i="1"/>
  <c r="AJ629" i="1"/>
  <c r="B637" i="1" s="1"/>
  <c r="B635" i="1"/>
  <c r="B556" i="1"/>
  <c r="B492" i="1"/>
  <c r="AO562" i="1"/>
  <c r="AJ562" i="1"/>
  <c r="B570" i="1" s="1"/>
  <c r="B568" i="1"/>
  <c r="AO498" i="1"/>
  <c r="A91" i="1"/>
</calcChain>
</file>

<file path=xl/sharedStrings.xml><?xml version="1.0" encoding="utf-8"?>
<sst xmlns="http://schemas.openxmlformats.org/spreadsheetml/2006/main" count="273" uniqueCount="155">
  <si>
    <t>(Naziv pravnog lica)</t>
  </si>
  <si>
    <t>Identifikacioni broj za direktne poreze</t>
  </si>
  <si>
    <t>(Djelatnost)</t>
  </si>
  <si>
    <t>Identifikacioni broj za indidirektne poreze</t>
  </si>
  <si>
    <t>(Sjedište i adresa pravnog lica)</t>
  </si>
  <si>
    <t>Šifra djelatnosti SKD</t>
  </si>
  <si>
    <t>Transakcijski računi (naziv banke i broj računa)</t>
  </si>
  <si>
    <t>Šifra općine</t>
  </si>
  <si>
    <t>(Banka)</t>
  </si>
  <si>
    <t>ZABILJEŠKE</t>
  </si>
  <si>
    <t>UZ FINANSIJSKE IZVJEŠTAJE</t>
  </si>
  <si>
    <t>CERTIFICIRANI RAČUNOVOĐA</t>
  </si>
  <si>
    <t>D I R E K T O R</t>
  </si>
  <si>
    <t>M.P.</t>
  </si>
  <si>
    <t>Broj dozvole</t>
  </si>
  <si>
    <t>Kontakt telefon</t>
  </si>
  <si>
    <t>OSNOVE MJERENJA</t>
  </si>
  <si>
    <t>Finansijski izvještaji Društva sačinjeni su po načelu istorijskog troška. Računovodstvene politike dosljedno su primjenjivane u svim periodima predstavljenim u ovim finansijskim izvještajima i u skladu su s računovodstvenim politikama korištenim u prethodnoj godini.</t>
  </si>
  <si>
    <t>1. BILANS USPJEHA</t>
  </si>
  <si>
    <t xml:space="preserve"> - P R I H O D I</t>
  </si>
  <si>
    <t xml:space="preserve">Prihodi od pruženih usluga priznaju se u bilansu uspjeha po stepenu dovršenosti. Stepen dovršenosti mjeri se kao odnos troškova nastalih do datuma bilansa i planiranih ukupnih troškova iz ugovora. </t>
  </si>
  <si>
    <t xml:space="preserve">Prihodi od prodaje iz ostalih aktivnosti priznaju se u bilansu uspjeha, isključujući PDV, u trenutku isporuke proizvoda kupcu, ispostavljena je faktura, koju kupac nije osporio. </t>
  </si>
  <si>
    <t>Iznos prihoda se može pouzdano izmjeriti na osnovu fakture, ugovora ili naplaćenog iznosa. Postoji vjerovatnoća, odnosno potpuna izvjesnost da će ekonomske koristi vezane za transakciju pritjecati u Društvo.</t>
  </si>
  <si>
    <t xml:space="preserve">Prihodi od prodaje ulaganja (stalnih sredstava) utvrđeni su kao razlika između postignute prodajne cijene ulaganja i knjigovodstvene vrijednosti ulaganja (stalnog sredstva) </t>
  </si>
  <si>
    <t>Prihodi od kamata su priznati na osnovu naplaćenog prihoda koji se odnosi na kamate.</t>
  </si>
  <si>
    <t>Pregled strukture ostvarenih prihoda</t>
  </si>
  <si>
    <t>R.</t>
  </si>
  <si>
    <t>Tekuća godina</t>
  </si>
  <si>
    <t>Prethodna godina</t>
  </si>
  <si>
    <t>INDEKS</t>
  </si>
  <si>
    <t>br.</t>
  </si>
  <si>
    <t>Pozicija</t>
  </si>
  <si>
    <t>Iznos KM</t>
  </si>
  <si>
    <t>%</t>
  </si>
  <si>
    <t>2/4*100</t>
  </si>
  <si>
    <t>POSLOVNI PRIHODI</t>
  </si>
  <si>
    <t xml:space="preserve">FINANSIJSKI PRIHODI </t>
  </si>
  <si>
    <t xml:space="preserve">OSTALI PRIHODI </t>
  </si>
  <si>
    <t>UKUPNO PRIHODI</t>
  </si>
  <si>
    <t>Ukupno prihodi</t>
  </si>
  <si>
    <t>Poslovni</t>
  </si>
  <si>
    <t>Finansijski</t>
  </si>
  <si>
    <t>Ostali</t>
  </si>
  <si>
    <t xml:space="preserve"> - R A S H O D I</t>
  </si>
  <si>
    <t>Rashodi su priznati u bilansu uspjeha na osnovu direktne povezanosti između nastalih troškova i specifičnih stavki prihoda, po principu sučeljavanja prihoda i rashoda. Na primjer, sve vrste troškova, odnosno rashoda, koji čine troškove nabavke prodate robe (nabavna vrijednost prodate robe), priznati su istodobno kao i prihodi od prodaje te robe. Priznavanje rashoda vršeno je istodobno i sa priznavanjem povećanja obaveza ili smanjenja sredstava, bez obzira da li su plaćene ili ne. Prema tome, svi rashodi koji su nastali i koji se odnose na obračunski period, priznati su u bilansu uspjeha, bez obzira da li se istovremeno radi i o odlivu gotovine ili ekvivaleta gotovine ili ne. Kamate pozajmljenih sredstava su priznate u iznosu koji se odnosi na iznos uplaćenih sredstava po osnovu kamata.</t>
  </si>
  <si>
    <t>Pregled strukture ostvarenih rashoda</t>
  </si>
  <si>
    <t>POSLOVNI RASHODI</t>
  </si>
  <si>
    <t>FINANSIJSKI RASHODI</t>
  </si>
  <si>
    <t xml:space="preserve">OSTALI RASHODI </t>
  </si>
  <si>
    <t>UKUPNO RASHODI</t>
  </si>
  <si>
    <t>Ukupni rashodi</t>
  </si>
  <si>
    <t xml:space="preserve">Finansijski </t>
  </si>
  <si>
    <t xml:space="preserve">Ostali </t>
  </si>
  <si>
    <t xml:space="preserve"> - D O B I T  (GUBITAK)</t>
  </si>
  <si>
    <t>Pregled ostvarene dobiti (gubitka)</t>
  </si>
  <si>
    <t>2/3*100</t>
  </si>
  <si>
    <t>Dobit prije poreza</t>
  </si>
  <si>
    <t>Gubitak prije poreza</t>
  </si>
  <si>
    <t>Porez na dobit</t>
  </si>
  <si>
    <t>Neto dobit perioda</t>
  </si>
  <si>
    <t>Gubitak perioda</t>
  </si>
  <si>
    <t>Prihodi</t>
  </si>
  <si>
    <t>Rashodi</t>
  </si>
  <si>
    <t>BrutoDobit (gubitak)</t>
  </si>
  <si>
    <t>2. BILANS STANJA</t>
  </si>
  <si>
    <t xml:space="preserve"> - STALNA SREDSTVA</t>
  </si>
  <si>
    <t>Nematerijalna imovina se početno vodi po trošku ulaganja, te nakandno po trošku ulaganja umanjenom za akumuliranu amortizaciju i gubitke od umanjenja vrijednosti. Amortizacija se obračunava linearnom metodom tokom procjenjenog korisnog vijeka trajanja nematerijalne imovine.</t>
  </si>
  <si>
    <t>Materijalna imovina (nekretnine, postrojenja i oprema) iskazana je po nabavnoj vrijednosti umanjenoj za akumuliranu amortizaciju i umanjenja vrijednosti. Amortizacija se obračunava linearnom metodom tokom procjenjenog korisnog vijeka trajanja.</t>
  </si>
  <si>
    <t xml:space="preserve"> - TEKUĆA SREDSTVA</t>
  </si>
  <si>
    <t xml:space="preserve"> - Zalihe</t>
  </si>
  <si>
    <t>Zalihe su vrednovane u skladu sa Međunarodnim računovodstvenim standardom 2 (MRS).</t>
  </si>
  <si>
    <t>Nabavna vrijednost / cijena koštanja zaliha obuhvata sve troškove nabave, troškove proizvodnje i druge troškove koji su nastali u procesu dovođenja zaliha na sadašnju lokaciju i u sadašnje stanje (paragraf 10 MRS 2)</t>
  </si>
  <si>
    <t>Zalihe sirovina i materijale, rezervnih dijelova, sitnog inventara, ambalaže i auto-guma vrednuju se po trošku (nabavnoj vrijednosti).</t>
  </si>
  <si>
    <t>Ukupne zalihe na dan 30.06.2012 iznose 771, a dati avansi za kupovinu vrijednosnih papira iznose 52.628 KM.</t>
  </si>
  <si>
    <t xml:space="preserve"> - Kratkoročna potraživanja i plasmani</t>
  </si>
  <si>
    <t xml:space="preserve"> - Gotovina i ekvivalenti gotovine</t>
  </si>
  <si>
    <t xml:space="preserve"> - Rezervisanja</t>
  </si>
  <si>
    <t xml:space="preserve">Rezervisanja se vrše za unaprijed plaćene izdatke za dio troškova koji se odnosi za naredni obračunski </t>
  </si>
  <si>
    <t xml:space="preserve">period. </t>
  </si>
  <si>
    <t>STALNA SREDSTVA</t>
  </si>
  <si>
    <t>.</t>
  </si>
  <si>
    <t>Stalna nematerijalna sredstva</t>
  </si>
  <si>
    <t>Nekretnine, postrojenja i oprema</t>
  </si>
  <si>
    <t>Biološka imovina</t>
  </si>
  <si>
    <t>Ost.stalna sredstva, ulag.potraž.i razgr.</t>
  </si>
  <si>
    <t>TEKUĆA SREDSTVA</t>
  </si>
  <si>
    <t>Zalihe i dati avansi</t>
  </si>
  <si>
    <t xml:space="preserve"> </t>
  </si>
  <si>
    <t>Potraživanja od prodaje</t>
  </si>
  <si>
    <t>Kratkoročni finansijski plasmani</t>
  </si>
  <si>
    <t>Druga kratkoročna potraživanja</t>
  </si>
  <si>
    <t>Novac i novčani ekvivalenti</t>
  </si>
  <si>
    <t>Aktivna vremenska razgraničenja</t>
  </si>
  <si>
    <t>GUBITAK IZNAD VISINE KAPITALA</t>
  </si>
  <si>
    <t>UKUPNA AKTIVA</t>
  </si>
  <si>
    <t>Stalna sr.</t>
  </si>
  <si>
    <t>Tekuća sr.</t>
  </si>
  <si>
    <t>Gubitak iznad kapitala</t>
  </si>
  <si>
    <t>KAPITAL</t>
  </si>
  <si>
    <t>OBAVEZE</t>
  </si>
  <si>
    <t>Dugoročne obaveze</t>
  </si>
  <si>
    <t>Kratkoročne obaveze</t>
  </si>
  <si>
    <t>Rezervisanja, razgraničenja i ost.</t>
  </si>
  <si>
    <t>UKUPNA PASIVA</t>
  </si>
  <si>
    <t>Vl.kapital</t>
  </si>
  <si>
    <t>Dug.obav.</t>
  </si>
  <si>
    <t>Kratk. obav.</t>
  </si>
  <si>
    <t>Dug. obav.</t>
  </si>
  <si>
    <t>Kratk.obav.</t>
  </si>
  <si>
    <t>Gubitak izn.kap.</t>
  </si>
  <si>
    <t>3. IZVJEŠTAJ O GOTOVINSKIM TOKOVIMA</t>
  </si>
  <si>
    <t>Izvještaj o novčanim tokovima urađen je prema MRS-u 7, po direktnoj metodi pri čemu se prikazuju</t>
  </si>
  <si>
    <t>novčani tokovi iz različitih vrsta aktivnosti, to jest iz poslovnih, ulagačkih i finansijskih aktivnosti.</t>
  </si>
  <si>
    <t>PRILIVI</t>
  </si>
  <si>
    <t>ODLIVI</t>
  </si>
  <si>
    <t>RAZLIKA</t>
  </si>
  <si>
    <t>AKTIVNOST</t>
  </si>
  <si>
    <t xml:space="preserve"> 2 - 4</t>
  </si>
  <si>
    <t>POSLOVNA</t>
  </si>
  <si>
    <t>ULAGAČKA</t>
  </si>
  <si>
    <t>FINANSIJSKA</t>
  </si>
  <si>
    <t>UKUPNO</t>
  </si>
  <si>
    <t>Grafički prikaz gotovinskih tokova po godinama</t>
  </si>
  <si>
    <t>Prilivi</t>
  </si>
  <si>
    <t>Odlivi</t>
  </si>
  <si>
    <t>4. POKAZATELJI ANALIZE FINANSIJSKIH IZVJEŠTAJA</t>
  </si>
  <si>
    <t>Pokazatelji profitabilnosti</t>
  </si>
  <si>
    <t>Marža bruto dobiti (gubitka) =</t>
  </si>
  <si>
    <t>bruto dobit (gubitak)</t>
  </si>
  <si>
    <t>X 100 =</t>
  </si>
  <si>
    <t>ukupan prihod</t>
  </si>
  <si>
    <t>prihod od prodaje</t>
  </si>
  <si>
    <t>Pokazatelji ekonomičnosti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</si>
  <si>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ekonomičnosti</t>
    </r>
    <r>
      <rPr>
        <vertAlign val="superscript"/>
        <sz val="14"/>
        <rFont val="Arial"/>
        <family val="2"/>
        <charset val="238"/>
      </rPr>
      <t xml:space="preserve"> =</t>
    </r>
  </si>
  <si>
    <t>ukupni rashodi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</si>
  <si>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ekonomičnosti</t>
    </r>
    <r>
      <rPr>
        <vertAlign val="superscript"/>
        <sz val="14"/>
        <rFont val="Arial"/>
        <family val="2"/>
        <charset val="238"/>
      </rPr>
      <t xml:space="preserve"> prodaje =</t>
    </r>
  </si>
  <si>
    <t>prihodi od prodaje</t>
  </si>
  <si>
    <t>Pokazatelji likvidnosti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</si>
  <si>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>TRENUTNE</t>
    </r>
    <r>
      <rPr>
        <vertAlign val="superscript"/>
        <sz val="14"/>
        <rFont val="Arial"/>
        <family val="2"/>
        <charset val="238"/>
      </rPr>
      <t xml:space="preserve"> likvidnosti =</t>
    </r>
  </si>
  <si>
    <t>novac</t>
  </si>
  <si>
    <t>kratkoročne obaveze</t>
  </si>
  <si>
    <r>
      <t xml:space="preserve">Stopa </t>
    </r>
    <r>
      <rPr>
        <b/>
        <vertAlign val="superscript"/>
        <sz val="14"/>
        <rFont val="Arial"/>
        <family val="2"/>
        <charset val="238"/>
      </rPr>
      <t>UBRZANE</t>
    </r>
    <r>
      <rPr>
        <vertAlign val="superscript"/>
        <sz val="14"/>
        <rFont val="Arial"/>
        <family val="2"/>
        <charset val="238"/>
      </rPr>
      <t xml:space="preserve"> likvidnosti =</t>
    </r>
  </si>
  <si>
    <t>novac + potraživanja</t>
  </si>
  <si>
    <r>
      <t xml:space="preserve">Stopa </t>
    </r>
    <r>
      <rPr>
        <b/>
        <vertAlign val="superscript"/>
        <sz val="14"/>
        <rFont val="Arial"/>
        <family val="2"/>
        <charset val="238"/>
      </rPr>
      <t>TEKUĆE</t>
    </r>
    <r>
      <rPr>
        <vertAlign val="superscript"/>
        <sz val="14"/>
        <rFont val="Arial"/>
        <family val="2"/>
        <charset val="238"/>
      </rPr>
      <t xml:space="preserve"> likvidnosti =</t>
    </r>
  </si>
  <si>
    <t>tekuća sredstva</t>
  </si>
  <si>
    <r>
      <t xml:space="preserve">Stopa </t>
    </r>
    <r>
      <rPr>
        <b/>
        <vertAlign val="superscript"/>
        <sz val="14"/>
        <rFont val="Arial"/>
        <family val="2"/>
        <charset val="238"/>
      </rPr>
      <t>finansijske stabilnosti</t>
    </r>
    <r>
      <rPr>
        <vertAlign val="superscript"/>
        <sz val="14"/>
        <rFont val="Arial"/>
        <family val="2"/>
        <charset val="238"/>
      </rPr>
      <t xml:space="preserve"> =</t>
    </r>
  </si>
  <si>
    <t>stalna sredstva</t>
  </si>
  <si>
    <t>kapital + dugoročne obaveze</t>
  </si>
  <si>
    <t>Pokazatelji zaduženosti</t>
  </si>
  <si>
    <r>
      <t xml:space="preserve">Stopa </t>
    </r>
    <r>
      <rPr>
        <b/>
        <vertAlign val="superscript"/>
        <sz val="14"/>
        <rFont val="Arial"/>
        <family val="2"/>
        <charset val="238"/>
      </rPr>
      <t xml:space="preserve">zaduženosti </t>
    </r>
    <r>
      <rPr>
        <vertAlign val="superscript"/>
        <sz val="14"/>
        <rFont val="Arial"/>
        <family val="2"/>
        <charset val="238"/>
      </rPr>
      <t>=</t>
    </r>
  </si>
  <si>
    <t>ukupne obaveze</t>
  </si>
  <si>
    <t xml:space="preserve">ukupna imovina </t>
  </si>
  <si>
    <r>
      <t xml:space="preserve">Stopa </t>
    </r>
    <r>
      <rPr>
        <b/>
        <vertAlign val="superscript"/>
        <sz val="14"/>
        <rFont val="Arial"/>
        <family val="2"/>
        <charset val="238"/>
      </rPr>
      <t xml:space="preserve">vlastitog finansiranja </t>
    </r>
    <r>
      <rPr>
        <vertAlign val="superscript"/>
        <sz val="14"/>
        <rFont val="Arial"/>
        <family val="2"/>
        <charset val="238"/>
      </rPr>
      <t>=</t>
    </r>
  </si>
  <si>
    <t>glavnica (kapital)</t>
  </si>
  <si>
    <t xml:space="preserve"> . .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</si>
</sst>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M_-;\-* #,##0.00\ _K_M_-;_-* &quot;-&quot;??\ _K_M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_ ;[Red]\-0.0\ "/>
    <numFmt numFmtId="168" formatCode="#,##0_ ;[Red]\-#,##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20"/>
      <name val="Times New Roman CE"/>
      <family val="1"/>
      <charset val="238"/>
    </font>
    <font>
      <sz val="24"/>
      <name val="Arial"/>
      <family val="2"/>
      <charset val="238"/>
    </font>
    <font>
      <sz val="24"/>
      <name val="Times New Roman CE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4"/>
      <name val="Arial"/>
      <family val="2"/>
      <charset val="238"/>
    </font>
    <font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sz val="12"/>
      <name val="Arial"/>
      <family val="2"/>
      <charset val="238"/>
    </font>
    <font>
      <b/>
      <sz val="12"/>
      <name val="Times New Roman CE"/>
      <family val="1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vertAlign val="superscript"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164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43" fontId="5" fillId="0" borderId="1" xfId="1" applyFont="1" applyFill="1" applyBorder="1" applyAlignment="1"/>
    <xf numFmtId="0" fontId="3" fillId="0" borderId="4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43" fontId="5" fillId="0" borderId="0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/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/>
    <xf numFmtId="0" fontId="3" fillId="0" borderId="1" xfId="0" applyFont="1" applyFill="1" applyBorder="1"/>
    <xf numFmtId="43" fontId="13" fillId="0" borderId="3" xfId="1" applyFont="1" applyFill="1" applyBorder="1" applyAlignment="1">
      <alignment horizontal="left"/>
    </xf>
    <xf numFmtId="0" fontId="12" fillId="0" borderId="0" xfId="0" applyFont="1" applyFill="1" applyBorder="1"/>
    <xf numFmtId="49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4" fillId="2" borderId="7" xfId="0" applyFont="1" applyFill="1" applyBorder="1"/>
    <xf numFmtId="0" fontId="14" fillId="2" borderId="5" xfId="0" applyFont="1" applyFill="1" applyBorder="1"/>
    <xf numFmtId="0" fontId="0" fillId="2" borderId="5" xfId="0" applyFill="1" applyBorder="1"/>
    <xf numFmtId="0" fontId="15" fillId="2" borderId="5" xfId="0" applyFont="1" applyFill="1" applyBorder="1"/>
    <xf numFmtId="0" fontId="0" fillId="2" borderId="8" xfId="0" applyFill="1" applyBorder="1"/>
    <xf numFmtId="0" fontId="15" fillId="0" borderId="0" xfId="0" applyFont="1" applyFill="1" applyAlignment="1">
      <alignment horizontal="justify"/>
    </xf>
    <xf numFmtId="0" fontId="15" fillId="0" borderId="0" xfId="0" applyFont="1" applyFill="1"/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7" fillId="0" borderId="0" xfId="0" applyFont="1" applyFill="1" applyBorder="1"/>
    <xf numFmtId="0" fontId="12" fillId="3" borderId="9" xfId="0" applyFont="1" applyFill="1" applyBorder="1"/>
    <xf numFmtId="0" fontId="17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2" fillId="3" borderId="12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 applyProtection="1">
      <alignment horizontal="left"/>
      <protection locked="0"/>
    </xf>
    <xf numFmtId="0" fontId="17" fillId="0" borderId="20" xfId="0" applyFont="1" applyFill="1" applyBorder="1"/>
    <xf numFmtId="0" fontId="3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/>
      <protection locked="0"/>
    </xf>
    <xf numFmtId="166" fontId="3" fillId="0" borderId="22" xfId="1" applyNumberFormat="1" applyFont="1" applyFill="1" applyBorder="1" applyAlignment="1">
      <alignment horizontal="center"/>
    </xf>
    <xf numFmtId="166" fontId="3" fillId="0" borderId="22" xfId="1" applyNumberFormat="1" applyFont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165" fontId="3" fillId="0" borderId="23" xfId="1" applyNumberFormat="1" applyFont="1" applyBorder="1" applyAlignment="1">
      <alignment horizontal="center"/>
    </xf>
    <xf numFmtId="0" fontId="3" fillId="0" borderId="24" xfId="0" applyFont="1" applyFill="1" applyBorder="1"/>
    <xf numFmtId="0" fontId="3" fillId="0" borderId="5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6" xfId="1" applyNumberFormat="1" applyFont="1" applyFill="1" applyBorder="1" applyAlignment="1" applyProtection="1">
      <alignment horizontal="center"/>
      <protection locked="0"/>
    </xf>
    <xf numFmtId="166" fontId="3" fillId="0" borderId="6" xfId="1" applyNumberFormat="1" applyFont="1" applyFill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25" xfId="1" applyNumberFormat="1" applyFont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 applyProtection="1">
      <alignment horizontal="left"/>
      <protection locked="0"/>
    </xf>
    <xf numFmtId="0" fontId="17" fillId="0" borderId="27" xfId="0" applyFont="1" applyFill="1" applyBorder="1"/>
    <xf numFmtId="0" fontId="3" fillId="0" borderId="27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/>
      <protection locked="0"/>
    </xf>
    <xf numFmtId="166" fontId="3" fillId="0" borderId="14" xfId="1" applyNumberFormat="1" applyFont="1" applyFill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5" fontId="3" fillId="0" borderId="29" xfId="1" applyNumberFormat="1" applyFont="1" applyBorder="1" applyAlignment="1">
      <alignment horizontal="center"/>
    </xf>
    <xf numFmtId="0" fontId="19" fillId="0" borderId="16" xfId="0" applyFont="1" applyFill="1" applyBorder="1"/>
    <xf numFmtId="0" fontId="19" fillId="0" borderId="30" xfId="0" applyFont="1" applyFill="1" applyBorder="1" applyAlignment="1" applyProtection="1">
      <alignment horizontal="left"/>
      <protection locked="0"/>
    </xf>
    <xf numFmtId="0" fontId="17" fillId="0" borderId="30" xfId="0" applyFont="1" applyFill="1" applyBorder="1"/>
    <xf numFmtId="0" fontId="0" fillId="0" borderId="30" xfId="0" applyBorder="1"/>
    <xf numFmtId="0" fontId="0" fillId="0" borderId="31" xfId="0" applyBorder="1"/>
    <xf numFmtId="165" fontId="19" fillId="0" borderId="17" xfId="1" applyNumberFormat="1" applyFont="1" applyFill="1" applyBorder="1" applyAlignment="1" applyProtection="1">
      <alignment horizontal="center"/>
      <protection locked="0"/>
    </xf>
    <xf numFmtId="166" fontId="1" fillId="0" borderId="17" xfId="1" applyNumberFormat="1" applyFont="1" applyBorder="1" applyAlignment="1">
      <alignment horizontal="center"/>
    </xf>
    <xf numFmtId="165" fontId="1" fillId="0" borderId="17" xfId="1" applyNumberFormat="1" applyFont="1" applyBorder="1" applyAlignment="1">
      <alignment horizontal="center"/>
    </xf>
    <xf numFmtId="165" fontId="1" fillId="0" borderId="18" xfId="1" applyNumberFormat="1" applyFont="1" applyBorder="1" applyAlignment="1">
      <alignment horizontal="center"/>
    </xf>
    <xf numFmtId="165" fontId="20" fillId="0" borderId="32" xfId="1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21" fillId="0" borderId="0" xfId="0" applyFont="1" applyFill="1" applyAlignment="1"/>
    <xf numFmtId="0" fontId="20" fillId="0" borderId="0" xfId="0" applyFont="1" applyFill="1"/>
    <xf numFmtId="0" fontId="20" fillId="0" borderId="0" xfId="0" applyFont="1" applyFill="1" applyAlignment="1"/>
    <xf numFmtId="166" fontId="20" fillId="0" borderId="0" xfId="1" applyNumberFormat="1" applyFont="1" applyFill="1" applyAlignment="1">
      <alignment horizontal="center"/>
    </xf>
    <xf numFmtId="165" fontId="0" fillId="0" borderId="0" xfId="0" applyNumberFormat="1"/>
    <xf numFmtId="0" fontId="3" fillId="0" borderId="0" xfId="0" applyFont="1"/>
    <xf numFmtId="0" fontId="15" fillId="0" borderId="0" xfId="0" applyFont="1" applyFill="1" applyBorder="1"/>
    <xf numFmtId="0" fontId="3" fillId="3" borderId="3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166" fontId="20" fillId="0" borderId="0" xfId="1" applyNumberFormat="1" applyFont="1" applyFill="1" applyAlignment="1">
      <alignment horizontal="center"/>
    </xf>
    <xf numFmtId="0" fontId="19" fillId="0" borderId="19" xfId="0" applyFont="1" applyFill="1" applyBorder="1"/>
    <xf numFmtId="0" fontId="19" fillId="0" borderId="20" xfId="0" applyFont="1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165" fontId="1" fillId="0" borderId="22" xfId="1" applyNumberFormat="1" applyFont="1" applyBorder="1" applyAlignment="1">
      <alignment horizontal="center"/>
    </xf>
    <xf numFmtId="165" fontId="1" fillId="0" borderId="23" xfId="1" applyNumberFormat="1" applyFont="1" applyBorder="1" applyAlignment="1">
      <alignment horizontal="center"/>
    </xf>
    <xf numFmtId="0" fontId="19" fillId="0" borderId="24" xfId="0" applyFont="1" applyFill="1" applyBorder="1"/>
    <xf numFmtId="0" fontId="19" fillId="0" borderId="5" xfId="0" applyFont="1" applyFill="1" applyBorder="1" applyAlignment="1" applyProtection="1">
      <alignment horizontal="left"/>
      <protection locked="0"/>
    </xf>
    <xf numFmtId="0" fontId="0" fillId="0" borderId="5" xfId="0" applyBorder="1"/>
    <xf numFmtId="0" fontId="0" fillId="0" borderId="8" xfId="0" applyBorder="1"/>
    <xf numFmtId="165" fontId="1" fillId="0" borderId="6" xfId="1" applyNumberFormat="1" applyFont="1" applyBorder="1" applyAlignment="1">
      <alignment horizontal="center"/>
    </xf>
    <xf numFmtId="165" fontId="1" fillId="0" borderId="25" xfId="1" applyNumberFormat="1" applyFont="1" applyBorder="1" applyAlignment="1">
      <alignment horizontal="center"/>
    </xf>
    <xf numFmtId="0" fontId="19" fillId="0" borderId="26" xfId="0" applyFont="1" applyFill="1" applyBorder="1"/>
    <xf numFmtId="0" fontId="19" fillId="0" borderId="27" xfId="0" applyFont="1" applyFill="1" applyBorder="1" applyAlignment="1" applyProtection="1">
      <alignment horizontal="left"/>
      <protection locked="0"/>
    </xf>
    <xf numFmtId="0" fontId="0" fillId="0" borderId="27" xfId="0" applyBorder="1"/>
    <xf numFmtId="0" fontId="0" fillId="0" borderId="28" xfId="0" applyBorder="1"/>
    <xf numFmtId="165" fontId="1" fillId="0" borderId="14" xfId="1" applyNumberFormat="1" applyFont="1" applyBorder="1" applyAlignment="1">
      <alignment horizontal="center"/>
    </xf>
    <xf numFmtId="165" fontId="1" fillId="0" borderId="29" xfId="1" applyNumberFormat="1" applyFont="1" applyBorder="1" applyAlignment="1">
      <alignment horizontal="center"/>
    </xf>
    <xf numFmtId="165" fontId="1" fillId="0" borderId="0" xfId="1" applyNumberFormat="1" applyFont="1"/>
    <xf numFmtId="0" fontId="22" fillId="2" borderId="5" xfId="0" applyFont="1" applyFill="1" applyBorder="1"/>
    <xf numFmtId="0" fontId="23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/>
    <xf numFmtId="0" fontId="24" fillId="0" borderId="0" xfId="0" applyFont="1" applyFill="1" applyBorder="1"/>
    <xf numFmtId="0" fontId="25" fillId="0" borderId="0" xfId="0" applyFont="1" applyFill="1"/>
    <xf numFmtId="0" fontId="1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5" fillId="0" borderId="0" xfId="0" applyFont="1" applyFill="1" applyAlignment="1">
      <alignment wrapText="1"/>
    </xf>
    <xf numFmtId="0" fontId="26" fillId="0" borderId="0" xfId="0" applyFont="1" applyFill="1"/>
    <xf numFmtId="0" fontId="19" fillId="0" borderId="9" xfId="0" applyFont="1" applyFill="1" applyBorder="1"/>
    <xf numFmtId="0" fontId="17" fillId="0" borderId="32" xfId="0" applyFont="1" applyFill="1" applyBorder="1"/>
    <xf numFmtId="0" fontId="0" fillId="0" borderId="34" xfId="0" applyBorder="1"/>
    <xf numFmtId="165" fontId="19" fillId="0" borderId="35" xfId="1" applyNumberFormat="1" applyFont="1" applyFill="1" applyBorder="1" applyAlignment="1" applyProtection="1">
      <alignment horizontal="center"/>
      <protection locked="0"/>
    </xf>
    <xf numFmtId="165" fontId="19" fillId="0" borderId="30" xfId="1" applyNumberFormat="1" applyFont="1" applyFill="1" applyBorder="1" applyAlignment="1" applyProtection="1">
      <alignment horizontal="center"/>
      <protection locked="0"/>
    </xf>
    <xf numFmtId="165" fontId="19" fillId="0" borderId="31" xfId="1" applyNumberFormat="1" applyFont="1" applyFill="1" applyBorder="1" applyAlignment="1" applyProtection="1">
      <alignment horizontal="center"/>
      <protection locked="0"/>
    </xf>
    <xf numFmtId="167" fontId="19" fillId="0" borderId="17" xfId="1" applyNumberFormat="1" applyFont="1" applyBorder="1" applyAlignment="1">
      <alignment horizontal="right"/>
    </xf>
    <xf numFmtId="165" fontId="19" fillId="0" borderId="17" xfId="1" applyNumberFormat="1" applyFont="1" applyBorder="1" applyAlignment="1">
      <alignment horizontal="center"/>
    </xf>
    <xf numFmtId="165" fontId="19" fillId="0" borderId="18" xfId="1" applyNumberFormat="1" applyFont="1" applyBorder="1" applyAlignment="1">
      <alignment horizontal="center"/>
    </xf>
    <xf numFmtId="0" fontId="27" fillId="0" borderId="19" xfId="0" applyFont="1" applyFill="1" applyBorder="1"/>
    <xf numFmtId="0" fontId="3" fillId="0" borderId="33" xfId="0" applyFont="1" applyFill="1" applyBorder="1" applyAlignment="1" applyProtection="1">
      <alignment horizontal="left"/>
      <protection locked="0"/>
    </xf>
    <xf numFmtId="166" fontId="1" fillId="0" borderId="22" xfId="1" applyNumberFormat="1" applyFont="1" applyBorder="1" applyAlignment="1">
      <alignment horizontal="center"/>
    </xf>
    <xf numFmtId="165" fontId="3" fillId="0" borderId="33" xfId="1" applyNumberFormat="1" applyFont="1" applyFill="1" applyBorder="1" applyAlignment="1" applyProtection="1">
      <alignment horizontal="center"/>
      <protection locked="0"/>
    </xf>
    <xf numFmtId="165" fontId="3" fillId="0" borderId="20" xfId="1" applyNumberFormat="1" applyFont="1" applyFill="1" applyBorder="1" applyAlignment="1" applyProtection="1">
      <alignment horizontal="center"/>
      <protection locked="0"/>
    </xf>
    <xf numFmtId="165" fontId="3" fillId="0" borderId="21" xfId="1" applyNumberFormat="1" applyFont="1" applyFill="1" applyBorder="1" applyAlignment="1" applyProtection="1">
      <alignment horizontal="center"/>
      <protection locked="0"/>
    </xf>
    <xf numFmtId="167" fontId="1" fillId="0" borderId="22" xfId="1" applyNumberFormat="1" applyFont="1" applyBorder="1" applyAlignment="1">
      <alignment horizontal="right"/>
    </xf>
    <xf numFmtId="0" fontId="27" fillId="0" borderId="24" xfId="0" applyFont="1" applyFill="1" applyBorder="1"/>
    <xf numFmtId="0" fontId="3" fillId="0" borderId="7" xfId="0" applyFont="1" applyFill="1" applyBorder="1" applyAlignment="1" applyProtection="1">
      <protection locked="0"/>
    </xf>
    <xf numFmtId="166" fontId="1" fillId="0" borderId="6" xfId="1" applyNumberFormat="1" applyFont="1" applyBorder="1" applyAlignment="1">
      <alignment horizontal="center"/>
    </xf>
    <xf numFmtId="165" fontId="3" fillId="0" borderId="7" xfId="1" applyNumberFormat="1" applyFont="1" applyFill="1" applyBorder="1" applyAlignment="1" applyProtection="1">
      <alignment horizontal="center"/>
      <protection locked="0"/>
    </xf>
    <xf numFmtId="165" fontId="3" fillId="0" borderId="5" xfId="1" applyNumberFormat="1" applyFont="1" applyFill="1" applyBorder="1" applyAlignment="1" applyProtection="1">
      <alignment horizontal="center"/>
      <protection locked="0"/>
    </xf>
    <xf numFmtId="165" fontId="3" fillId="0" borderId="8" xfId="1" applyNumberFormat="1" applyFont="1" applyFill="1" applyBorder="1" applyAlignment="1" applyProtection="1">
      <alignment horizontal="center"/>
      <protection locked="0"/>
    </xf>
    <xf numFmtId="167" fontId="1" fillId="0" borderId="6" xfId="1" applyNumberFormat="1" applyFont="1" applyBorder="1" applyAlignment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27" fillId="0" borderId="36" xfId="0" applyFont="1" applyFill="1" applyBorder="1"/>
    <xf numFmtId="0" fontId="3" fillId="0" borderId="37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/>
    <xf numFmtId="0" fontId="0" fillId="0" borderId="3" xfId="0" applyBorder="1"/>
    <xf numFmtId="165" fontId="3" fillId="0" borderId="38" xfId="1" applyNumberFormat="1" applyFont="1" applyFill="1" applyBorder="1" applyAlignment="1" applyProtection="1">
      <alignment horizontal="center"/>
      <protection locked="0"/>
    </xf>
    <xf numFmtId="165" fontId="3" fillId="0" borderId="27" xfId="1" applyNumberFormat="1" applyFont="1" applyFill="1" applyBorder="1" applyAlignment="1" applyProtection="1">
      <alignment horizontal="center"/>
      <protection locked="0"/>
    </xf>
    <xf numFmtId="165" fontId="3" fillId="0" borderId="28" xfId="1" applyNumberFormat="1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67" fontId="3" fillId="0" borderId="22" xfId="1" applyNumberFormat="1" applyFont="1" applyBorder="1" applyAlignment="1">
      <alignment horizontal="right"/>
    </xf>
    <xf numFmtId="167" fontId="3" fillId="0" borderId="6" xfId="1" applyNumberFormat="1" applyFont="1" applyBorder="1" applyAlignment="1">
      <alignment horizontal="right"/>
    </xf>
    <xf numFmtId="166" fontId="1" fillId="0" borderId="17" xfId="1" applyNumberFormat="1" applyFont="1" applyFill="1" applyBorder="1" applyAlignment="1">
      <alignment horizontal="center"/>
    </xf>
    <xf numFmtId="167" fontId="1" fillId="0" borderId="17" xfId="1" applyNumberFormat="1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/>
    <xf numFmtId="0" fontId="12" fillId="3" borderId="39" xfId="0" applyFont="1" applyFill="1" applyBorder="1"/>
    <xf numFmtId="0" fontId="17" fillId="3" borderId="39" xfId="0" applyFont="1" applyFill="1" applyBorder="1" applyAlignment="1">
      <alignment horizontal="center"/>
    </xf>
    <xf numFmtId="0" fontId="19" fillId="3" borderId="40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2" fillId="3" borderId="41" xfId="0" applyFont="1" applyFill="1" applyBorder="1"/>
    <xf numFmtId="0" fontId="3" fillId="3" borderId="4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" fontId="3" fillId="3" borderId="41" xfId="0" applyNumberFormat="1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3" fillId="0" borderId="42" xfId="0" applyFont="1" applyFill="1" applyBorder="1"/>
    <xf numFmtId="0" fontId="3" fillId="0" borderId="43" xfId="0" applyFont="1" applyFill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center"/>
    </xf>
    <xf numFmtId="165" fontId="3" fillId="0" borderId="19" xfId="1" applyNumberFormat="1" applyFont="1" applyFill="1" applyBorder="1" applyAlignment="1" applyProtection="1">
      <alignment horizontal="center"/>
      <protection locked="0"/>
    </xf>
    <xf numFmtId="166" fontId="3" fillId="0" borderId="23" xfId="1" applyNumberFormat="1" applyFont="1" applyFill="1" applyBorder="1" applyAlignment="1">
      <alignment horizontal="center"/>
    </xf>
    <xf numFmtId="166" fontId="3" fillId="0" borderId="23" xfId="1" applyNumberFormat="1" applyFont="1" applyBorder="1" applyAlignment="1">
      <alignment horizontal="center"/>
    </xf>
    <xf numFmtId="168" fontId="3" fillId="0" borderId="42" xfId="1" applyNumberFormat="1" applyFont="1" applyBorder="1" applyAlignment="1">
      <alignment horizontal="right"/>
    </xf>
    <xf numFmtId="0" fontId="3" fillId="0" borderId="45" xfId="0" applyFont="1" applyFill="1" applyBorder="1"/>
    <xf numFmtId="0" fontId="3" fillId="0" borderId="46" xfId="0" applyFont="1" applyFill="1" applyBorder="1" applyAlignment="1" applyProtection="1">
      <alignment horizontal="left"/>
      <protection locked="0"/>
    </xf>
    <xf numFmtId="0" fontId="4" fillId="0" borderId="47" xfId="0" applyFont="1" applyBorder="1" applyAlignment="1">
      <alignment horizontal="center"/>
    </xf>
    <xf numFmtId="165" fontId="3" fillId="0" borderId="24" xfId="1" applyNumberFormat="1" applyFont="1" applyFill="1" applyBorder="1" applyAlignment="1" applyProtection="1">
      <alignment horizontal="center"/>
      <protection locked="0"/>
    </xf>
    <xf numFmtId="166" fontId="3" fillId="0" borderId="25" xfId="1" applyNumberFormat="1" applyFont="1" applyFill="1" applyBorder="1" applyAlignment="1">
      <alignment horizontal="center"/>
    </xf>
    <xf numFmtId="166" fontId="3" fillId="0" borderId="25" xfId="1" applyNumberFormat="1" applyFont="1" applyBorder="1" applyAlignment="1">
      <alignment horizontal="center"/>
    </xf>
    <xf numFmtId="168" fontId="3" fillId="0" borderId="45" xfId="1" applyNumberFormat="1" applyFont="1" applyBorder="1" applyAlignment="1">
      <alignment horizontal="right"/>
    </xf>
    <xf numFmtId="0" fontId="3" fillId="0" borderId="48" xfId="0" applyFont="1" applyFill="1" applyBorder="1"/>
    <xf numFmtId="0" fontId="3" fillId="0" borderId="49" xfId="0" applyFont="1" applyFill="1" applyBorder="1" applyAlignment="1" applyProtection="1">
      <alignment horizontal="left"/>
      <protection locked="0"/>
    </xf>
    <xf numFmtId="0" fontId="4" fillId="0" borderId="50" xfId="0" applyFont="1" applyBorder="1" applyAlignment="1">
      <alignment horizontal="center"/>
    </xf>
    <xf numFmtId="165" fontId="3" fillId="0" borderId="26" xfId="1" applyNumberFormat="1" applyFont="1" applyFill="1" applyBorder="1" applyAlignment="1" applyProtection="1">
      <alignment horizontal="center"/>
      <protection locked="0"/>
    </xf>
    <xf numFmtId="166" fontId="3" fillId="0" borderId="29" xfId="1" applyNumberFormat="1" applyFont="1" applyFill="1" applyBorder="1" applyAlignment="1">
      <alignment horizontal="center"/>
    </xf>
    <xf numFmtId="166" fontId="3" fillId="0" borderId="29" xfId="1" applyNumberFormat="1" applyFont="1" applyBorder="1" applyAlignment="1">
      <alignment horizontal="center"/>
    </xf>
    <xf numFmtId="168" fontId="3" fillId="0" borderId="48" xfId="1" applyNumberFormat="1" applyFont="1" applyBorder="1" applyAlignment="1">
      <alignment horizontal="right"/>
    </xf>
    <xf numFmtId="0" fontId="19" fillId="0" borderId="40" xfId="0" applyFont="1" applyFill="1" applyBorder="1"/>
    <xf numFmtId="0" fontId="19" fillId="0" borderId="51" xfId="0" applyFont="1" applyFill="1" applyBorder="1" applyAlignment="1" applyProtection="1">
      <alignment horizontal="left"/>
      <protection locked="0"/>
    </xf>
    <xf numFmtId="0" fontId="29" fillId="0" borderId="30" xfId="0" applyFont="1" applyFill="1" applyBorder="1"/>
    <xf numFmtId="0" fontId="19" fillId="0" borderId="30" xfId="0" applyFont="1" applyBorder="1"/>
    <xf numFmtId="0" fontId="19" fillId="0" borderId="52" xfId="0" applyFont="1" applyBorder="1"/>
    <xf numFmtId="165" fontId="19" fillId="0" borderId="16" xfId="1" applyNumberFormat="1" applyFont="1" applyFill="1" applyBorder="1" applyAlignment="1" applyProtection="1">
      <alignment horizontal="center"/>
      <protection locked="0"/>
    </xf>
    <xf numFmtId="166" fontId="19" fillId="0" borderId="17" xfId="1" applyNumberFormat="1" applyFont="1" applyBorder="1" applyAlignment="1">
      <alignment horizontal="center"/>
    </xf>
    <xf numFmtId="166" fontId="19" fillId="0" borderId="18" xfId="1" applyNumberFormat="1" applyFont="1" applyBorder="1" applyAlignment="1">
      <alignment horizontal="center"/>
    </xf>
    <xf numFmtId="168" fontId="19" fillId="0" borderId="40" xfId="1" applyNumberFormat="1" applyFont="1" applyBorder="1" applyAlignment="1">
      <alignment horizontal="right"/>
    </xf>
    <xf numFmtId="0" fontId="16" fillId="0" borderId="0" xfId="0" applyFont="1" applyFill="1" applyBorder="1"/>
    <xf numFmtId="0" fontId="30" fillId="0" borderId="0" xfId="0" applyFont="1" applyFill="1" applyBorder="1"/>
    <xf numFmtId="168" fontId="15" fillId="0" borderId="0" xfId="0" applyNumberFormat="1" applyFont="1" applyFill="1"/>
    <xf numFmtId="165" fontId="15" fillId="0" borderId="0" xfId="0" applyNumberFormat="1" applyFont="1" applyFill="1"/>
    <xf numFmtId="0" fontId="31" fillId="0" borderId="0" xfId="0" applyFont="1" applyFill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3" fillId="0" borderId="3" xfId="0" applyFont="1" applyBorder="1"/>
    <xf numFmtId="0" fontId="20" fillId="0" borderId="0" xfId="0" applyFont="1"/>
    <xf numFmtId="165" fontId="1" fillId="0" borderId="1" xfId="1" applyNumberFormat="1" applyFont="1" applyBorder="1" applyAlignment="1">
      <alignment horizontal="center"/>
    </xf>
    <xf numFmtId="10" fontId="32" fillId="0" borderId="0" xfId="1" applyNumberFormat="1" applyFont="1" applyAlignment="1">
      <alignment horizontal="center"/>
    </xf>
    <xf numFmtId="43" fontId="32" fillId="0" borderId="0" xfId="1" applyFont="1" applyAlignment="1"/>
    <xf numFmtId="0" fontId="4" fillId="0" borderId="0" xfId="0" applyFont="1" applyFill="1" applyAlignment="1"/>
    <xf numFmtId="43" fontId="1" fillId="0" borderId="0" xfId="1" applyFont="1"/>
    <xf numFmtId="165" fontId="1" fillId="0" borderId="3" xfId="1" applyNumberFormat="1" applyFont="1" applyBorder="1" applyAlignment="1">
      <alignment horizontal="center"/>
    </xf>
    <xf numFmtId="43" fontId="20" fillId="0" borderId="0" xfId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05595586465069"/>
          <c:y val="0.4838709677419355"/>
          <c:w val="0.7638914791242104"/>
          <c:h val="0.25513196480938416"/>
        </c:manualLayout>
      </c:layout>
      <c:pie3DChart>
        <c:varyColors val="1"/>
        <c:ser>
          <c:idx val="0"/>
          <c:order val="0"/>
          <c:tx>
            <c:strRef>
              <c:f>[1]Zabljeske!$AK$321</c:f>
              <c:strCache>
                <c:ptCount val="1"/>
                <c:pt idx="0">
                  <c:v>2012.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5.4991591619909824E-2"/>
                  <c:y val="4.217576251244456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[1]Zabljeske!$AJ$322:$AJ$324</c:f>
              <c:strCache>
                <c:ptCount val="3"/>
                <c:pt idx="0">
                  <c:v>Stalna sr.</c:v>
                </c:pt>
                <c:pt idx="1">
                  <c:v>Tekuća sr.</c:v>
                </c:pt>
                <c:pt idx="2">
                  <c:v>Gubitak iznad kapitala</c:v>
                </c:pt>
              </c:strCache>
            </c:strRef>
          </c:cat>
          <c:val>
            <c:numRef>
              <c:f>[1]Zabljeske!$AK$322:$AK$324</c:f>
              <c:numCache>
                <c:formatCode>General</c:formatCode>
                <c:ptCount val="3"/>
                <c:pt idx="0">
                  <c:v>1341924</c:v>
                </c:pt>
                <c:pt idx="1">
                  <c:v>1275532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41009463722397"/>
          <c:y val="0.46764773042240698"/>
          <c:w val="0.77602523659305989"/>
          <c:h val="0.2882357080590936"/>
        </c:manualLayout>
      </c:layout>
      <c:pie3DChart>
        <c:varyColors val="1"/>
        <c:ser>
          <c:idx val="0"/>
          <c:order val="0"/>
          <c:tx>
            <c:strRef>
              <c:f>[1]Zabljeske!$AK$326</c:f>
              <c:strCache>
                <c:ptCount val="1"/>
                <c:pt idx="0">
                  <c:v>2011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2.3906525410858283E-2"/>
                  <c:y val="-3.87870201345939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083796234508646E-2"/>
                  <c:y val="7.349081364829403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[1]Zabljeske!$AJ$327:$AJ$329</c:f>
              <c:strCache>
                <c:ptCount val="3"/>
                <c:pt idx="0">
                  <c:v>Stalna sr.</c:v>
                </c:pt>
                <c:pt idx="1">
                  <c:v>Tekuća sr.</c:v>
                </c:pt>
                <c:pt idx="2">
                  <c:v>Gubitak iznad kapitala</c:v>
                </c:pt>
              </c:strCache>
            </c:strRef>
          </c:cat>
          <c:val>
            <c:numRef>
              <c:f>[1]Zabljeske!$AK$327:$AK$329</c:f>
              <c:numCache>
                <c:formatCode>General</c:formatCode>
                <c:ptCount val="3"/>
                <c:pt idx="0">
                  <c:v>1340752</c:v>
                </c:pt>
                <c:pt idx="1">
                  <c:v>1234858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6689895470383"/>
          <c:y val="0.48520710059171596"/>
          <c:w val="0.76306620209059228"/>
          <c:h val="0.25739644970414199"/>
        </c:manualLayout>
      </c:layout>
      <c:pie3DChart>
        <c:varyColors val="1"/>
        <c:ser>
          <c:idx val="0"/>
          <c:order val="0"/>
          <c:tx>
            <c:strRef>
              <c:f>[1]Zabljeske!$AM$370</c:f>
              <c:strCache>
                <c:ptCount val="1"/>
                <c:pt idx="0">
                  <c:v>2012.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[1]Zabljeske!$AL$371:$AL$373</c:f>
              <c:strCache>
                <c:ptCount val="3"/>
                <c:pt idx="0">
                  <c:v>Vl.kapital</c:v>
                </c:pt>
                <c:pt idx="1">
                  <c:v>Dug.obav.</c:v>
                </c:pt>
                <c:pt idx="2">
                  <c:v>Kratk. obav.</c:v>
                </c:pt>
              </c:strCache>
            </c:strRef>
          </c:cat>
          <c:val>
            <c:numRef>
              <c:f>[1]Zabljeske!$AM$371:$AM$373</c:f>
              <c:numCache>
                <c:formatCode>General</c:formatCode>
                <c:ptCount val="3"/>
                <c:pt idx="0">
                  <c:v>2571756</c:v>
                </c:pt>
                <c:pt idx="1">
                  <c:v>0</c:v>
                </c:pt>
                <c:pt idx="2">
                  <c:v>45700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264808362369339E-2"/>
          <c:y val="0.19230769230769232"/>
          <c:w val="0.89198606271777003"/>
          <c:h val="7.100591715976331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45510835913312"/>
          <c:y val="0.46428706370635608"/>
          <c:w val="0.77708978328173373"/>
          <c:h val="0.29761991263227955"/>
        </c:manualLayout>
      </c:layout>
      <c:pie3DChart>
        <c:varyColors val="1"/>
        <c:ser>
          <c:idx val="0"/>
          <c:order val="0"/>
          <c:tx>
            <c:strRef>
              <c:f>[1]Zabljeske!$AM$375</c:f>
              <c:strCache>
                <c:ptCount val="1"/>
                <c:pt idx="0">
                  <c:v>2011</c:v>
                </c:pt>
              </c:strCache>
            </c:strRef>
          </c:tx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[1]Zabljeske!$AL$376:$AL$378</c:f>
              <c:strCache>
                <c:ptCount val="3"/>
                <c:pt idx="0">
                  <c:v>Vl.kapital</c:v>
                </c:pt>
                <c:pt idx="1">
                  <c:v>Dug. obav.</c:v>
                </c:pt>
                <c:pt idx="2">
                  <c:v>Kratk.obav.</c:v>
                </c:pt>
              </c:strCache>
            </c:strRef>
          </c:cat>
          <c:val>
            <c:numRef>
              <c:f>[1]Zabljeske!$AM$376:$AM$378</c:f>
              <c:numCache>
                <c:formatCode>General</c:formatCode>
                <c:ptCount val="3"/>
                <c:pt idx="0">
                  <c:v>2502558</c:v>
                </c:pt>
                <c:pt idx="1">
                  <c:v>0</c:v>
                </c:pt>
                <c:pt idx="2">
                  <c:v>73052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71207430340563E-2"/>
          <c:y val="0.19345300587426573"/>
          <c:w val="0.79256965944272439"/>
          <c:h val="7.142888388951379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s-Latn-BA"/>
              <a:t>Struktura pasive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43653250773995E-2"/>
          <c:y val="0.20346363353886282"/>
          <c:w val="0.90712074303405577"/>
          <c:h val="0.722945251084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[1]Zabljeske!$AK$399</c:f>
              <c:strCache>
                <c:ptCount val="1"/>
                <c:pt idx="0">
                  <c:v>Vl.kapital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[1]Zabljeske!$AL$398:$AM$398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[1]Zabljeske!$AL$399:$AM$399</c:f>
              <c:numCache>
                <c:formatCode>General</c:formatCode>
                <c:ptCount val="2"/>
                <c:pt idx="0">
                  <c:v>2571756</c:v>
                </c:pt>
                <c:pt idx="1">
                  <c:v>2502558</c:v>
                </c:pt>
              </c:numCache>
            </c:numRef>
          </c:val>
        </c:ser>
        <c:ser>
          <c:idx val="1"/>
          <c:order val="1"/>
          <c:tx>
            <c:strRef>
              <c:f>[1]Zabljeske!$AK$400</c:f>
              <c:strCache>
                <c:ptCount val="1"/>
                <c:pt idx="0">
                  <c:v>Dug.obav.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[1]Zabljeske!$AL$398:$AM$398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[1]Zabljeske!$AL$400:$AM$400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[1]Zabljeske!$AK$401</c:f>
              <c:strCache>
                <c:ptCount val="1"/>
                <c:pt idx="0">
                  <c:v>Kratk.obav.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[1]Zabljeske!$AL$398:$AM$398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[1]Zabljeske!$AL$401:$AM$401</c:f>
              <c:numCache>
                <c:formatCode>General</c:formatCode>
                <c:ptCount val="2"/>
                <c:pt idx="0">
                  <c:v>45700</c:v>
                </c:pt>
                <c:pt idx="1">
                  <c:v>73052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34624672"/>
        <c:axId val="434617616"/>
      </c:barChart>
      <c:catAx>
        <c:axId val="4346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61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1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62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835913312693499"/>
          <c:y val="0.11471884196293644"/>
          <c:w val="0.7801857585139319"/>
          <c:h val="5.194805194805193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813583517248177E-2"/>
          <c:y val="0.1950361364006275"/>
          <c:w val="0.60856450856659905"/>
          <c:h val="0.68085342161673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[1]Zabljeske!$AI$106</c:f>
              <c:strCache>
                <c:ptCount val="1"/>
                <c:pt idx="0">
                  <c:v>Ukupno prihodi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[1]Zabljeske!$AJ$105:$AK$105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[1]Zabljeske!$AJ$106:$AK$106</c:f>
              <c:numCache>
                <c:formatCode>General</c:formatCode>
                <c:ptCount val="2"/>
                <c:pt idx="0">
                  <c:v>377776.29</c:v>
                </c:pt>
                <c:pt idx="1">
                  <c:v>468733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34619968"/>
        <c:axId val="434777040"/>
      </c:barChart>
      <c:catAx>
        <c:axId val="4346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7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619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300785796270877"/>
          <c:y val="0.17375886524822695"/>
          <c:w val="0.3139842840745824"/>
          <c:h val="8.510638297872338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7945285653369897E-2"/>
          <c:y val="0.23437559604796357"/>
          <c:w val="0.90068643763116307"/>
          <c:h val="0.6770850552496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[1]Zabljeske!$AH$153</c:f>
              <c:strCache>
                <c:ptCount val="1"/>
                <c:pt idx="0">
                  <c:v>Ukupni rashodi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[1]Zabljeske!$AI$152:$AJ$152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[1]Zabljeske!$AI$153:$AJ$153</c:f>
              <c:numCache>
                <c:formatCode>General</c:formatCode>
                <c:ptCount val="2"/>
                <c:pt idx="0">
                  <c:v>267689</c:v>
                </c:pt>
                <c:pt idx="1">
                  <c:v>270591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34775864"/>
        <c:axId val="434777432"/>
      </c:barChart>
      <c:catAx>
        <c:axId val="43477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77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775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s-Latn-BA"/>
              <a:t>Struktura rashoda </a:t>
            </a:r>
          </a:p>
        </c:rich>
      </c:tx>
      <c:layout>
        <c:manualLayout>
          <c:xMode val="edge"/>
          <c:yMode val="edge"/>
          <c:x val="0.2257533472872853"/>
          <c:y val="4.007280908068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936855556602862E-2"/>
          <c:y val="0.46233824870415063"/>
          <c:w val="0.56329200963584358"/>
          <c:h val="0.1818184124117446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[1]Zabljeske!$AH$156:$AH$158</c:f>
              <c:strCache>
                <c:ptCount val="3"/>
                <c:pt idx="0">
                  <c:v>Poslovni</c:v>
                </c:pt>
                <c:pt idx="1">
                  <c:v>Finansijski </c:v>
                </c:pt>
                <c:pt idx="2">
                  <c:v>Ostali </c:v>
                </c:pt>
              </c:strCache>
            </c:strRef>
          </c:cat>
          <c:val>
            <c:numRef>
              <c:f>[1]Zabljeske!$AI$156:$AI$158</c:f>
              <c:numCache>
                <c:formatCode>General</c:formatCode>
                <c:ptCount val="3"/>
                <c:pt idx="0">
                  <c:v>265587</c:v>
                </c:pt>
                <c:pt idx="1">
                  <c:v>5</c:v>
                </c:pt>
                <c:pt idx="2">
                  <c:v>2097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[1]Zabljeske!$J$455</c:f>
              <c:strCache>
                <c:ptCount val="1"/>
                <c:pt idx="0">
                  <c:v>Prilivi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[1]Zabljeske!$K$454:$L$454</c:f>
              <c:numCache>
                <c:formatCode>General</c:formatCode>
                <c:ptCount val="2"/>
                <c:pt idx="0">
                  <c:v>2012</c:v>
                </c:pt>
                <c:pt idx="1">
                  <c:v>2011</c:v>
                </c:pt>
              </c:numCache>
            </c:numRef>
          </c:cat>
          <c:val>
            <c:numRef>
              <c:f>[1]Zabljeske!$K$455:$L$455</c:f>
              <c:numCache>
                <c:formatCode>General</c:formatCode>
                <c:ptCount val="2"/>
                <c:pt idx="0">
                  <c:v>171404</c:v>
                </c:pt>
                <c:pt idx="1">
                  <c:v>117563</c:v>
                </c:pt>
              </c:numCache>
            </c:numRef>
          </c:val>
        </c:ser>
        <c:ser>
          <c:idx val="1"/>
          <c:order val="1"/>
          <c:tx>
            <c:strRef>
              <c:f>[1]Zabljeske!$J$456</c:f>
              <c:strCache>
                <c:ptCount val="1"/>
                <c:pt idx="0">
                  <c:v>Odlivi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[1]Zabljeske!$K$454:$L$454</c:f>
              <c:numCache>
                <c:formatCode>General</c:formatCode>
                <c:ptCount val="2"/>
                <c:pt idx="0">
                  <c:v>2012</c:v>
                </c:pt>
                <c:pt idx="1">
                  <c:v>2011</c:v>
                </c:pt>
              </c:numCache>
            </c:numRef>
          </c:cat>
          <c:val>
            <c:numRef>
              <c:f>[1]Zabljeske!$K$456:$L$456</c:f>
              <c:numCache>
                <c:formatCode>General</c:formatCode>
                <c:ptCount val="2"/>
                <c:pt idx="0">
                  <c:v>544700</c:v>
                </c:pt>
                <c:pt idx="1">
                  <c:v>481431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778608"/>
        <c:axId val="434778216"/>
      </c:barChart>
      <c:catAx>
        <c:axId val="4347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8216"/>
        <c:crosses val="autoZero"/>
        <c:auto val="1"/>
        <c:lblAlgn val="ctr"/>
        <c:lblOffset val="100"/>
        <c:noMultiLvlLbl val="0"/>
      </c:catAx>
      <c:valAx>
        <c:axId val="434778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463414634146339"/>
          <c:y val="0.90178821397325337"/>
          <c:w val="0.20262664165103189"/>
          <c:h val="7.14288838895138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s-Latn-BA"/>
              <a:t>Struktura aktive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951132524196424E-2"/>
          <c:y val="0.20524017467248909"/>
          <c:w val="0.89860293276560577"/>
          <c:h val="0.720524017467248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[1]Zabljeske!$AK$393</c:f>
              <c:strCache>
                <c:ptCount val="1"/>
                <c:pt idx="0">
                  <c:v>Stalna sr.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[1]Zabljeske!$AL$392:$AM$392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[1]Zabljeske!$AL$393:$AM$393</c:f>
              <c:numCache>
                <c:formatCode>General</c:formatCode>
                <c:ptCount val="2"/>
                <c:pt idx="0">
                  <c:v>1341924</c:v>
                </c:pt>
                <c:pt idx="1">
                  <c:v>1340752</c:v>
                </c:pt>
              </c:numCache>
            </c:numRef>
          </c:val>
        </c:ser>
        <c:ser>
          <c:idx val="1"/>
          <c:order val="1"/>
          <c:tx>
            <c:strRef>
              <c:f>[1]Zabljeske!$AK$394</c:f>
              <c:strCache>
                <c:ptCount val="1"/>
                <c:pt idx="0">
                  <c:v>Tekuća sr.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[1]Zabljeske!$AL$392:$AM$392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[1]Zabljeske!$AL$394:$AM$394</c:f>
              <c:numCache>
                <c:formatCode>General</c:formatCode>
                <c:ptCount val="2"/>
                <c:pt idx="0">
                  <c:v>1275532</c:v>
                </c:pt>
                <c:pt idx="1">
                  <c:v>1234858</c:v>
                </c:pt>
              </c:numCache>
            </c:numRef>
          </c:val>
        </c:ser>
        <c:ser>
          <c:idx val="2"/>
          <c:order val="2"/>
          <c:tx>
            <c:strRef>
              <c:f>[1]Zabljeske!$AK$395</c:f>
              <c:strCache>
                <c:ptCount val="1"/>
                <c:pt idx="0">
                  <c:v>Gubitak izn.kap.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[1]Zabljeske!$AL$392:$AM$392</c:f>
              <c:strCache>
                <c:ptCount val="2"/>
                <c:pt idx="0">
                  <c:v>2012.</c:v>
                </c:pt>
                <c:pt idx="1">
                  <c:v>2011</c:v>
                </c:pt>
              </c:strCache>
            </c:strRef>
          </c:cat>
          <c:val>
            <c:numRef>
              <c:f>[1]Zabljeske!$AL$395:$AM$395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34774296"/>
        <c:axId val="434775080"/>
      </c:barChart>
      <c:catAx>
        <c:axId val="43477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5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75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774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487675054604188E-2"/>
          <c:y val="0.11572052401746726"/>
          <c:w val="0.98951232494539576"/>
          <c:h val="5.240174672489082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3220216058494"/>
          <c:y val="3.643729498420497E-2"/>
          <c:w val="0.82383558640231402"/>
          <c:h val="0.87179602073320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[1]Zabljeske!$AH$195</c:f>
              <c:strCache>
                <c:ptCount val="1"/>
                <c:pt idx="0">
                  <c:v>2012.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[1]Zabljeske!$AG$196:$AG$198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BrutoDobit (gubitak)</c:v>
                </c:pt>
              </c:strCache>
            </c:strRef>
          </c:cat>
          <c:val>
            <c:numRef>
              <c:f>[1]Zabljeske!$AH$196:$AH$198</c:f>
              <c:numCache>
                <c:formatCode>General</c:formatCode>
                <c:ptCount val="3"/>
                <c:pt idx="0">
                  <c:v>377776.29</c:v>
                </c:pt>
                <c:pt idx="1">
                  <c:v>267689</c:v>
                </c:pt>
                <c:pt idx="2">
                  <c:v>110087.28999999998</c:v>
                </c:pt>
              </c:numCache>
            </c:numRef>
          </c:val>
        </c:ser>
        <c:ser>
          <c:idx val="1"/>
          <c:order val="1"/>
          <c:tx>
            <c:strRef>
              <c:f>[1]Zabljeske!$AI$195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[1]Zabljeske!$AG$196:$AG$198</c:f>
              <c:strCache>
                <c:ptCount val="3"/>
                <c:pt idx="0">
                  <c:v>Prihodi</c:v>
                </c:pt>
                <c:pt idx="1">
                  <c:v>Rashodi</c:v>
                </c:pt>
                <c:pt idx="2">
                  <c:v>BrutoDobit (gubitak)</c:v>
                </c:pt>
              </c:strCache>
            </c:strRef>
          </c:cat>
          <c:val>
            <c:numRef>
              <c:f>[1]Zabljeske!$AI$196:$AI$198</c:f>
              <c:numCache>
                <c:formatCode>General</c:formatCode>
                <c:ptCount val="3"/>
                <c:pt idx="0">
                  <c:v>468733</c:v>
                </c:pt>
                <c:pt idx="1">
                  <c:v>270591</c:v>
                </c:pt>
                <c:pt idx="2">
                  <c:v>198142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779000"/>
        <c:axId val="434774688"/>
      </c:barChart>
      <c:catAx>
        <c:axId val="43477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4688"/>
        <c:crosses val="autoZero"/>
        <c:auto val="1"/>
        <c:lblAlgn val="ctr"/>
        <c:lblOffset val="100"/>
        <c:noMultiLvlLbl val="0"/>
      </c:catAx>
      <c:valAx>
        <c:axId val="43477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43477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5253876944133"/>
          <c:y val="0.95546686218878507"/>
          <c:w val="0.1796203971912837"/>
          <c:h val="3.238866396761130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0.75000000000000822" l="0.70000000000000062" r="0.70000000000000062" t="0.75000000000000822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bs-Latn-BA"/>
              <a:t>Struktura prihoda </a:t>
            </a:r>
          </a:p>
        </c:rich>
      </c:tx>
      <c:layout>
        <c:manualLayout>
          <c:xMode val="edge"/>
          <c:yMode val="edge"/>
          <c:x val="0.20161125692621754"/>
          <c:y val="3.007521586303478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05595586465069"/>
          <c:y val="0.38515967514575133"/>
          <c:w val="0.7638914791242104"/>
          <c:h val="0.48409977518319203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[1]Zabljeske!$AI$109:$AI$111</c:f>
              <c:strCache>
                <c:ptCount val="3"/>
                <c:pt idx="0">
                  <c:v>Poslovni</c:v>
                </c:pt>
                <c:pt idx="1">
                  <c:v>Finansijski</c:v>
                </c:pt>
                <c:pt idx="2">
                  <c:v>Ostali</c:v>
                </c:pt>
              </c:strCache>
            </c:strRef>
          </c:cat>
          <c:val>
            <c:numRef>
              <c:f>[1]Zabljeske!$AJ$109:$AJ$111</c:f>
              <c:numCache>
                <c:formatCode>General</c:formatCode>
                <c:ptCount val="3"/>
                <c:pt idx="0">
                  <c:v>325271</c:v>
                </c:pt>
                <c:pt idx="1">
                  <c:v>26858</c:v>
                </c:pt>
                <c:pt idx="2">
                  <c:v>25647.289999999979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 alignWithMargins="0"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319</xdr:row>
      <xdr:rowOff>28575</xdr:rowOff>
    </xdr:from>
    <xdr:to>
      <xdr:col>23</xdr:col>
      <xdr:colOff>0</xdr:colOff>
      <xdr:row>336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57150</xdr:colOff>
      <xdr:row>319</xdr:row>
      <xdr:rowOff>28575</xdr:rowOff>
    </xdr:from>
    <xdr:to>
      <xdr:col>45</xdr:col>
      <xdr:colOff>104775</xdr:colOff>
      <xdr:row>336</xdr:row>
      <xdr:rowOff>28575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19050</xdr:rowOff>
    </xdr:from>
    <xdr:to>
      <xdr:col>22</xdr:col>
      <xdr:colOff>104775</xdr:colOff>
      <xdr:row>385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28575</xdr:colOff>
      <xdr:row>368</xdr:row>
      <xdr:rowOff>9525</xdr:rowOff>
    </xdr:from>
    <xdr:to>
      <xdr:col>46</xdr:col>
      <xdr:colOff>0</xdr:colOff>
      <xdr:row>384</xdr:row>
      <xdr:rowOff>161925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28575</xdr:colOff>
      <xdr:row>389</xdr:row>
      <xdr:rowOff>85725</xdr:rowOff>
    </xdr:from>
    <xdr:to>
      <xdr:col>46</xdr:col>
      <xdr:colOff>0</xdr:colOff>
      <xdr:row>412</xdr:row>
      <xdr:rowOff>104775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103</xdr:row>
      <xdr:rowOff>9525</xdr:rowOff>
    </xdr:from>
    <xdr:to>
      <xdr:col>26</xdr:col>
      <xdr:colOff>28575</xdr:colOff>
      <xdr:row>116</xdr:row>
      <xdr:rowOff>95250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104775</xdr:rowOff>
    </xdr:from>
    <xdr:to>
      <xdr:col>23</xdr:col>
      <xdr:colOff>38100</xdr:colOff>
      <xdr:row>167</xdr:row>
      <xdr:rowOff>142875</xdr:rowOff>
    </xdr:to>
    <xdr:graphicFrame macro="">
      <xdr:nvGraphicFramePr>
        <xdr:cNvPr id="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66675</xdr:colOff>
      <xdr:row>148</xdr:row>
      <xdr:rowOff>104775</xdr:rowOff>
    </xdr:from>
    <xdr:to>
      <xdr:col>45</xdr:col>
      <xdr:colOff>104775</xdr:colOff>
      <xdr:row>167</xdr:row>
      <xdr:rowOff>152400</xdr:rowOff>
    </xdr:to>
    <xdr:graphicFrame macro="">
      <xdr:nvGraphicFramePr>
        <xdr:cNvPr id="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449</xdr:row>
      <xdr:rowOff>171450</xdr:rowOff>
    </xdr:from>
    <xdr:to>
      <xdr:col>40</xdr:col>
      <xdr:colOff>28575</xdr:colOff>
      <xdr:row>467</xdr:row>
      <xdr:rowOff>114300</xdr:rowOff>
    </xdr:to>
    <xdr:graphicFrame macro="">
      <xdr:nvGraphicFramePr>
        <xdr:cNvPr id="10" name="Grafikon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389</xdr:row>
      <xdr:rowOff>85725</xdr:rowOff>
    </xdr:from>
    <xdr:to>
      <xdr:col>22</xdr:col>
      <xdr:colOff>95250</xdr:colOff>
      <xdr:row>412</xdr:row>
      <xdr:rowOff>66675</xdr:rowOff>
    </xdr:to>
    <xdr:graphicFrame macro="">
      <xdr:nvGraphicFramePr>
        <xdr:cNvPr id="1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192</xdr:row>
      <xdr:rowOff>114300</xdr:rowOff>
    </xdr:from>
    <xdr:to>
      <xdr:col>44</xdr:col>
      <xdr:colOff>0</xdr:colOff>
      <xdr:row>229</xdr:row>
      <xdr:rowOff>123825</xdr:rowOff>
    </xdr:to>
    <xdr:graphicFrame macro="">
      <xdr:nvGraphicFramePr>
        <xdr:cNvPr id="12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47625</xdr:colOff>
      <xdr:row>103</xdr:row>
      <xdr:rowOff>9525</xdr:rowOff>
    </xdr:from>
    <xdr:to>
      <xdr:col>46</xdr:col>
      <xdr:colOff>28575</xdr:colOff>
      <xdr:row>116</xdr:row>
      <xdr:rowOff>104775</xdr:rowOff>
    </xdr:to>
    <xdr:graphicFrame macro="">
      <xdr:nvGraphicFramePr>
        <xdr:cNvPr id="13" name="Grafikon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nad.h\Desktop\1.%20PoluGodPreduzeca%20BA%2006%202012%20excel%2097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B.Uspjeha"/>
      <sheetName val="B.Stanja"/>
      <sheetName val="GotTok_Direkt"/>
      <sheetName val="GotTok_Indir"/>
      <sheetName val="PromjKapitala"/>
      <sheetName val="Zabljeske"/>
      <sheetName val="AktAFIP"/>
      <sheetName val="Omot"/>
      <sheetName val="#BU"/>
      <sheetName val="#BS_A"/>
      <sheetName val="#BS_P"/>
      <sheetName val="#GT_1"/>
      <sheetName val="#GT_2"/>
      <sheetName val="#IPK"/>
    </sheetNames>
    <sheetDataSet>
      <sheetData sheetId="0" refreshError="1">
        <row r="1">
          <cell r="U1">
            <v>2012</v>
          </cell>
        </row>
        <row r="3">
          <cell r="F3" t="str">
            <v>Hadžialić Azira</v>
          </cell>
          <cell r="AB3" t="str">
            <v>4263/5</v>
          </cell>
          <cell r="AM3" t="str">
            <v>033 770 960</v>
          </cell>
        </row>
        <row r="6">
          <cell r="F6" t="str">
            <v>01.01.</v>
          </cell>
          <cell r="M6" t="str">
            <v>30.06.</v>
          </cell>
          <cell r="P6" t="str">
            <v>2012.</v>
          </cell>
        </row>
        <row r="8">
          <cell r="F8" t="str">
            <v>DUF BLAGO  d.o.o.</v>
          </cell>
          <cell r="AB8">
            <v>4</v>
          </cell>
          <cell r="AC8">
            <v>2</v>
          </cell>
          <cell r="AD8">
            <v>0</v>
          </cell>
          <cell r="AE8">
            <v>0</v>
          </cell>
          <cell r="AF8">
            <v>0</v>
          </cell>
          <cell r="AG8">
            <v>5</v>
          </cell>
          <cell r="AH8">
            <v>2</v>
          </cell>
          <cell r="AI8">
            <v>5</v>
          </cell>
          <cell r="AJ8">
            <v>4</v>
          </cell>
          <cell r="AK8">
            <v>0</v>
          </cell>
          <cell r="AL8">
            <v>0</v>
          </cell>
          <cell r="AM8">
            <v>0</v>
          </cell>
          <cell r="AN8">
            <v>7</v>
          </cell>
        </row>
        <row r="9">
          <cell r="F9" t="str">
            <v>Sarajevo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F10" t="str">
            <v>Bulevar Meše Selimovića br.16</v>
          </cell>
          <cell r="AB10">
            <v>6</v>
          </cell>
          <cell r="AC10">
            <v>7</v>
          </cell>
          <cell r="AD10">
            <v>1</v>
          </cell>
          <cell r="AE10">
            <v>2</v>
          </cell>
          <cell r="AF10">
            <v>0</v>
          </cell>
        </row>
        <row r="12">
          <cell r="AB12">
            <v>1</v>
          </cell>
          <cell r="AC12">
            <v>0</v>
          </cell>
          <cell r="AD12">
            <v>8</v>
          </cell>
        </row>
        <row r="13">
          <cell r="AB13" t="str">
            <v>Moja banka</v>
          </cell>
        </row>
        <row r="14">
          <cell r="F14">
            <v>0</v>
          </cell>
          <cell r="AB14">
            <v>1</v>
          </cell>
          <cell r="AC14">
            <v>3</v>
          </cell>
          <cell r="AD14">
            <v>7</v>
          </cell>
          <cell r="AE14">
            <v>4</v>
          </cell>
          <cell r="AF14">
            <v>7</v>
          </cell>
          <cell r="AG14">
            <v>0</v>
          </cell>
          <cell r="AH14">
            <v>6</v>
          </cell>
          <cell r="AI14">
            <v>0</v>
          </cell>
          <cell r="AJ14">
            <v>0</v>
          </cell>
          <cell r="AK14">
            <v>2</v>
          </cell>
          <cell r="AL14">
            <v>5</v>
          </cell>
          <cell r="AM14">
            <v>2</v>
          </cell>
          <cell r="AN14">
            <v>0</v>
          </cell>
          <cell r="AO14">
            <v>8</v>
          </cell>
          <cell r="AP14">
            <v>6</v>
          </cell>
          <cell r="AQ14">
            <v>5</v>
          </cell>
        </row>
        <row r="15">
          <cell r="F15" t="str">
            <v>Osnivanje i upravljanje IF</v>
          </cell>
          <cell r="AB15" t="str">
            <v>Raiffeisen bank dd Sarajevo</v>
          </cell>
        </row>
        <row r="16">
          <cell r="AB16">
            <v>1</v>
          </cell>
          <cell r="AC16">
            <v>6</v>
          </cell>
          <cell r="AD16">
            <v>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</v>
          </cell>
          <cell r="AK16">
            <v>2</v>
          </cell>
          <cell r="AL16">
            <v>0</v>
          </cell>
          <cell r="AM16">
            <v>7</v>
          </cell>
          <cell r="AN16">
            <v>0</v>
          </cell>
          <cell r="AO16">
            <v>0</v>
          </cell>
          <cell r="AP16">
            <v>3</v>
          </cell>
          <cell r="AQ16">
            <v>3</v>
          </cell>
        </row>
        <row r="95">
          <cell r="F95">
            <v>377776.29</v>
          </cell>
        </row>
        <row r="152">
          <cell r="F152">
            <v>24908.17</v>
          </cell>
        </row>
        <row r="203">
          <cell r="F203">
            <v>267689</v>
          </cell>
        </row>
      </sheetData>
      <sheetData sheetId="1" refreshError="1">
        <row r="27">
          <cell r="AG27">
            <v>325271</v>
          </cell>
          <cell r="AO27">
            <v>434219</v>
          </cell>
        </row>
        <row r="38">
          <cell r="AG38">
            <v>265587</v>
          </cell>
          <cell r="AO38">
            <v>267970</v>
          </cell>
        </row>
        <row r="54">
          <cell r="AG54">
            <v>26858</v>
          </cell>
          <cell r="AO54">
            <v>26500</v>
          </cell>
        </row>
        <row r="64">
          <cell r="AG64">
            <v>5</v>
          </cell>
          <cell r="AO64">
            <v>595</v>
          </cell>
        </row>
        <row r="75">
          <cell r="AO75">
            <v>7446</v>
          </cell>
        </row>
        <row r="87">
          <cell r="AO87">
            <v>522</v>
          </cell>
        </row>
        <row r="104">
          <cell r="AO104">
            <v>0</v>
          </cell>
        </row>
        <row r="119">
          <cell r="AO119">
            <v>0</v>
          </cell>
        </row>
        <row r="129">
          <cell r="AO129">
            <v>0</v>
          </cell>
        </row>
        <row r="133">
          <cell r="AO133">
            <v>0</v>
          </cell>
        </row>
        <row r="139">
          <cell r="AO139">
            <v>568</v>
          </cell>
        </row>
        <row r="141">
          <cell r="AO141">
            <v>1504</v>
          </cell>
        </row>
        <row r="144">
          <cell r="AG144">
            <v>110087</v>
          </cell>
          <cell r="AO144">
            <v>198142</v>
          </cell>
        </row>
        <row r="146">
          <cell r="AG146">
            <v>0</v>
          </cell>
          <cell r="AO146">
            <v>0</v>
          </cell>
        </row>
        <row r="149">
          <cell r="AG149">
            <v>0</v>
          </cell>
          <cell r="AO149">
            <v>0</v>
          </cell>
        </row>
        <row r="153">
          <cell r="AG153">
            <v>110087</v>
          </cell>
          <cell r="AO153">
            <v>198142</v>
          </cell>
        </row>
        <row r="154">
          <cell r="AG154">
            <v>0</v>
          </cell>
          <cell r="AO154">
            <v>0</v>
          </cell>
        </row>
        <row r="156">
          <cell r="AO156">
            <v>0</v>
          </cell>
        </row>
        <row r="158">
          <cell r="AO158">
            <v>0</v>
          </cell>
        </row>
      </sheetData>
      <sheetData sheetId="2" refreshError="1">
        <row r="23">
          <cell r="AD23">
            <v>2358992</v>
          </cell>
          <cell r="AK23">
            <v>1017068</v>
          </cell>
          <cell r="AR23">
            <v>1341924</v>
          </cell>
          <cell r="AY23">
            <v>1340752</v>
          </cell>
        </row>
        <row r="25">
          <cell r="AR25">
            <v>48738</v>
          </cell>
          <cell r="AY25">
            <v>57860</v>
          </cell>
        </row>
        <row r="31">
          <cell r="AR31">
            <v>230150</v>
          </cell>
          <cell r="AY31">
            <v>245936</v>
          </cell>
        </row>
        <row r="38">
          <cell r="AR38">
            <v>0</v>
          </cell>
          <cell r="AY38">
            <v>0</v>
          </cell>
        </row>
        <row r="59">
          <cell r="AR59">
            <v>0</v>
          </cell>
        </row>
        <row r="61">
          <cell r="AR61">
            <v>1275532</v>
          </cell>
          <cell r="AY61">
            <v>1234858</v>
          </cell>
        </row>
        <row r="62">
          <cell r="AR62">
            <v>53398</v>
          </cell>
          <cell r="AY62">
            <v>0</v>
          </cell>
        </row>
        <row r="71">
          <cell r="AR71">
            <v>324891</v>
          </cell>
          <cell r="AY71">
            <v>698187</v>
          </cell>
        </row>
        <row r="74">
          <cell r="AR74">
            <v>838522</v>
          </cell>
          <cell r="AY74">
            <v>471603</v>
          </cell>
        </row>
        <row r="80">
          <cell r="AR80">
            <v>0</v>
          </cell>
          <cell r="AY80">
            <v>0</v>
          </cell>
        </row>
        <row r="89">
          <cell r="AR89">
            <v>58721</v>
          </cell>
          <cell r="AY89">
            <v>65068</v>
          </cell>
        </row>
        <row r="91">
          <cell r="AR91">
            <v>0</v>
          </cell>
          <cell r="AY91">
            <v>0</v>
          </cell>
        </row>
        <row r="92">
          <cell r="AR92">
            <v>2617456</v>
          </cell>
          <cell r="AY92">
            <v>2575610</v>
          </cell>
        </row>
        <row r="102">
          <cell r="AR102">
            <v>2571756</v>
          </cell>
          <cell r="AY102">
            <v>2502558</v>
          </cell>
        </row>
        <row r="132">
          <cell r="AR132">
            <v>0</v>
          </cell>
          <cell r="AY132">
            <v>0</v>
          </cell>
        </row>
        <row r="144">
          <cell r="AR144">
            <v>45700</v>
          </cell>
          <cell r="AY144">
            <v>73052</v>
          </cell>
        </row>
        <row r="170">
          <cell r="AR170">
            <v>2617456</v>
          </cell>
          <cell r="AY170">
            <v>2575610</v>
          </cell>
        </row>
      </sheetData>
      <sheetData sheetId="3" refreshError="1">
        <row r="34">
          <cell r="AI34">
            <v>0</v>
          </cell>
        </row>
        <row r="62">
          <cell r="AC62">
            <v>0</v>
          </cell>
          <cell r="AI62">
            <v>0</v>
          </cell>
        </row>
        <row r="76">
          <cell r="AC76">
            <v>0</v>
          </cell>
        </row>
        <row r="77">
          <cell r="AC77">
            <v>373296</v>
          </cell>
        </row>
        <row r="78">
          <cell r="AC78">
            <v>0</v>
          </cell>
        </row>
        <row r="79">
          <cell r="AC79">
            <v>373296</v>
          </cell>
        </row>
      </sheetData>
      <sheetData sheetId="4" refreshError="1"/>
      <sheetData sheetId="5" refreshError="1"/>
      <sheetData sheetId="6" refreshError="1">
        <row r="100">
          <cell r="R100">
            <v>377776.29</v>
          </cell>
        </row>
        <row r="105">
          <cell r="AJ105" t="str">
            <v>2012.</v>
          </cell>
          <cell r="AK105">
            <v>2011</v>
          </cell>
        </row>
        <row r="106">
          <cell r="AI106" t="str">
            <v>Ukupno prihodi</v>
          </cell>
          <cell r="AJ106">
            <v>377776.29</v>
          </cell>
          <cell r="AK106">
            <v>468733</v>
          </cell>
        </row>
        <row r="109">
          <cell r="AI109" t="str">
            <v>Poslovni</v>
          </cell>
          <cell r="AJ109">
            <v>325271</v>
          </cell>
        </row>
        <row r="110">
          <cell r="AI110" t="str">
            <v>Finansijski</v>
          </cell>
          <cell r="AJ110">
            <v>26858</v>
          </cell>
        </row>
        <row r="111">
          <cell r="AI111" t="str">
            <v>Ostali</v>
          </cell>
          <cell r="AJ111">
            <v>25647.289999999979</v>
          </cell>
        </row>
        <row r="143">
          <cell r="R143">
            <v>267689</v>
          </cell>
        </row>
        <row r="152">
          <cell r="AI152" t="str">
            <v>2012.</v>
          </cell>
          <cell r="AJ152">
            <v>2011</v>
          </cell>
        </row>
        <row r="153">
          <cell r="AH153" t="str">
            <v>Ukupni rashodi</v>
          </cell>
          <cell r="AI153">
            <v>267689</v>
          </cell>
          <cell r="AJ153">
            <v>270591</v>
          </cell>
        </row>
        <row r="156">
          <cell r="AH156" t="str">
            <v>Poslovni</v>
          </cell>
          <cell r="AI156">
            <v>265587</v>
          </cell>
        </row>
        <row r="157">
          <cell r="AH157" t="str">
            <v xml:space="preserve">Finansijski </v>
          </cell>
          <cell r="AI157">
            <v>5</v>
          </cell>
        </row>
        <row r="158">
          <cell r="AH158" t="str">
            <v xml:space="preserve">Ostali </v>
          </cell>
          <cell r="AI158">
            <v>2097</v>
          </cell>
        </row>
        <row r="195">
          <cell r="AH195" t="str">
            <v>2012.</v>
          </cell>
          <cell r="AI195">
            <v>2011</v>
          </cell>
        </row>
        <row r="196">
          <cell r="AG196" t="str">
            <v>Prihodi</v>
          </cell>
          <cell r="AH196">
            <v>377776.29</v>
          </cell>
          <cell r="AI196">
            <v>468733</v>
          </cell>
        </row>
        <row r="197">
          <cell r="AG197" t="str">
            <v>Rashodi</v>
          </cell>
          <cell r="AH197">
            <v>267689</v>
          </cell>
          <cell r="AI197">
            <v>270591</v>
          </cell>
        </row>
        <row r="198">
          <cell r="AG198" t="str">
            <v>BrutoDobit (gubitak)</v>
          </cell>
          <cell r="AH198">
            <v>110087.28999999998</v>
          </cell>
          <cell r="AI198">
            <v>198142</v>
          </cell>
        </row>
        <row r="308">
          <cell r="AD308">
            <v>471603</v>
          </cell>
        </row>
        <row r="309">
          <cell r="AD309">
            <v>0</v>
          </cell>
        </row>
        <row r="310">
          <cell r="AD310">
            <v>0</v>
          </cell>
        </row>
        <row r="321">
          <cell r="AK321" t="str">
            <v>2012.</v>
          </cell>
        </row>
        <row r="322">
          <cell r="AJ322" t="str">
            <v>Stalna sr.</v>
          </cell>
          <cell r="AK322">
            <v>1341924</v>
          </cell>
        </row>
        <row r="323">
          <cell r="AJ323" t="str">
            <v>Tekuća sr.</v>
          </cell>
          <cell r="AK323">
            <v>1275532</v>
          </cell>
        </row>
        <row r="324">
          <cell r="AJ324" t="str">
            <v>Gubitak iznad kapitala</v>
          </cell>
          <cell r="AK324">
            <v>0</v>
          </cell>
        </row>
        <row r="326">
          <cell r="AK326">
            <v>2011</v>
          </cell>
        </row>
        <row r="327">
          <cell r="AJ327" t="str">
            <v>Stalna sr.</v>
          </cell>
          <cell r="AK327">
            <v>1340752</v>
          </cell>
        </row>
        <row r="328">
          <cell r="AJ328" t="str">
            <v>Tekuća sr.</v>
          </cell>
          <cell r="AK328">
            <v>1234858</v>
          </cell>
        </row>
        <row r="329">
          <cell r="AJ329" t="str">
            <v>Gubitak iznad kapitala</v>
          </cell>
          <cell r="AK329">
            <v>0</v>
          </cell>
        </row>
        <row r="370">
          <cell r="AM370" t="str">
            <v>2012.</v>
          </cell>
        </row>
        <row r="371">
          <cell r="AL371" t="str">
            <v>Vl.kapital</v>
          </cell>
          <cell r="AM371">
            <v>2571756</v>
          </cell>
        </row>
        <row r="372">
          <cell r="AL372" t="str">
            <v>Dug.obav.</v>
          </cell>
          <cell r="AM372">
            <v>0</v>
          </cell>
        </row>
        <row r="373">
          <cell r="AL373" t="str">
            <v>Kratk. obav.</v>
          </cell>
          <cell r="AM373">
            <v>45700</v>
          </cell>
        </row>
        <row r="375">
          <cell r="AM375">
            <v>2011</v>
          </cell>
        </row>
        <row r="376">
          <cell r="AL376" t="str">
            <v>Vl.kapital</v>
          </cell>
          <cell r="AM376">
            <v>2502558</v>
          </cell>
        </row>
        <row r="377">
          <cell r="AL377" t="str">
            <v>Dug. obav.</v>
          </cell>
          <cell r="AM377">
            <v>0</v>
          </cell>
        </row>
        <row r="378">
          <cell r="AL378" t="str">
            <v>Kratk.obav.</v>
          </cell>
          <cell r="AM378">
            <v>73052</v>
          </cell>
        </row>
        <row r="392">
          <cell r="AL392" t="str">
            <v>2012.</v>
          </cell>
          <cell r="AM392">
            <v>2011</v>
          </cell>
        </row>
        <row r="393">
          <cell r="AK393" t="str">
            <v>Stalna sr.</v>
          </cell>
          <cell r="AL393">
            <v>1341924</v>
          </cell>
          <cell r="AM393">
            <v>1340752</v>
          </cell>
        </row>
        <row r="394">
          <cell r="AK394" t="str">
            <v>Tekuća sr.</v>
          </cell>
          <cell r="AL394">
            <v>1275532</v>
          </cell>
          <cell r="AM394">
            <v>1234858</v>
          </cell>
        </row>
        <row r="395">
          <cell r="AK395" t="str">
            <v>Gubitak izn.kap.</v>
          </cell>
          <cell r="AL395">
            <v>0</v>
          </cell>
          <cell r="AM395">
            <v>0</v>
          </cell>
        </row>
        <row r="398">
          <cell r="AL398" t="str">
            <v>2012.</v>
          </cell>
          <cell r="AM398">
            <v>2011</v>
          </cell>
        </row>
        <row r="399">
          <cell r="AK399" t="str">
            <v>Vl.kapital</v>
          </cell>
          <cell r="AL399">
            <v>2571756</v>
          </cell>
          <cell r="AM399">
            <v>2502558</v>
          </cell>
        </row>
        <row r="400">
          <cell r="AK400" t="str">
            <v>Dug.obav.</v>
          </cell>
          <cell r="AL400">
            <v>0</v>
          </cell>
          <cell r="AM400">
            <v>0</v>
          </cell>
        </row>
        <row r="401">
          <cell r="AK401" t="str">
            <v>Kratk.obav.</v>
          </cell>
          <cell r="AL401">
            <v>45700</v>
          </cell>
          <cell r="AM401">
            <v>73052</v>
          </cell>
        </row>
        <row r="454">
          <cell r="K454">
            <v>2012</v>
          </cell>
          <cell r="L454">
            <v>2011</v>
          </cell>
        </row>
        <row r="455">
          <cell r="J455" t="str">
            <v>Prilivi</v>
          </cell>
          <cell r="K455">
            <v>171404</v>
          </cell>
          <cell r="L455">
            <v>117563</v>
          </cell>
        </row>
        <row r="456">
          <cell r="J456" t="str">
            <v>Odlivi</v>
          </cell>
          <cell r="K456">
            <v>544700</v>
          </cell>
          <cell r="L456">
            <v>481431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1"/>
  <sheetViews>
    <sheetView tabSelected="1" workbookViewId="0">
      <selection activeCell="Z10" sqref="Z9:Z10"/>
    </sheetView>
  </sheetViews>
  <sheetFormatPr defaultColWidth="1.7109375" defaultRowHeight="15" x14ac:dyDescent="0.25"/>
  <cols>
    <col min="1" max="1" width="2.140625" customWidth="1"/>
    <col min="2" max="2" width="2" customWidth="1"/>
    <col min="3" max="7" width="1.7109375" customWidth="1"/>
    <col min="8" max="8" width="2.140625" customWidth="1"/>
    <col min="9" max="9" width="2.28515625" customWidth="1"/>
    <col min="10" max="27" width="1.7109375" customWidth="1"/>
    <col min="28" max="31" width="2.5703125" customWidth="1"/>
    <col min="32" max="33" width="1.7109375" customWidth="1"/>
    <col min="34" max="46" width="2" customWidth="1"/>
    <col min="47" max="50" width="1.7109375" customWidth="1"/>
    <col min="51" max="51" width="7.7109375" customWidth="1"/>
    <col min="52" max="53" width="8.85546875" customWidth="1"/>
    <col min="54" max="59" width="12.140625" customWidth="1"/>
    <col min="257" max="257" width="2.140625" customWidth="1"/>
    <col min="258" max="258" width="2" customWidth="1"/>
    <col min="259" max="263" width="1.7109375" customWidth="1"/>
    <col min="264" max="264" width="2.140625" customWidth="1"/>
    <col min="265" max="265" width="2.28515625" customWidth="1"/>
    <col min="266" max="283" width="1.7109375" customWidth="1"/>
    <col min="284" max="287" width="2.5703125" customWidth="1"/>
    <col min="288" max="289" width="1.7109375" customWidth="1"/>
    <col min="290" max="302" width="2" customWidth="1"/>
    <col min="303" max="306" width="1.7109375" customWidth="1"/>
    <col min="307" max="307" width="7.7109375" customWidth="1"/>
    <col min="308" max="309" width="8.85546875" customWidth="1"/>
    <col min="310" max="315" width="12.140625" customWidth="1"/>
    <col min="513" max="513" width="2.140625" customWidth="1"/>
    <col min="514" max="514" width="2" customWidth="1"/>
    <col min="515" max="519" width="1.7109375" customWidth="1"/>
    <col min="520" max="520" width="2.140625" customWidth="1"/>
    <col min="521" max="521" width="2.28515625" customWidth="1"/>
    <col min="522" max="539" width="1.7109375" customWidth="1"/>
    <col min="540" max="543" width="2.5703125" customWidth="1"/>
    <col min="544" max="545" width="1.7109375" customWidth="1"/>
    <col min="546" max="558" width="2" customWidth="1"/>
    <col min="559" max="562" width="1.7109375" customWidth="1"/>
    <col min="563" max="563" width="7.7109375" customWidth="1"/>
    <col min="564" max="565" width="8.85546875" customWidth="1"/>
    <col min="566" max="571" width="12.140625" customWidth="1"/>
    <col min="769" max="769" width="2.140625" customWidth="1"/>
    <col min="770" max="770" width="2" customWidth="1"/>
    <col min="771" max="775" width="1.7109375" customWidth="1"/>
    <col min="776" max="776" width="2.140625" customWidth="1"/>
    <col min="777" max="777" width="2.28515625" customWidth="1"/>
    <col min="778" max="795" width="1.7109375" customWidth="1"/>
    <col min="796" max="799" width="2.5703125" customWidth="1"/>
    <col min="800" max="801" width="1.7109375" customWidth="1"/>
    <col min="802" max="814" width="2" customWidth="1"/>
    <col min="815" max="818" width="1.7109375" customWidth="1"/>
    <col min="819" max="819" width="7.7109375" customWidth="1"/>
    <col min="820" max="821" width="8.85546875" customWidth="1"/>
    <col min="822" max="827" width="12.140625" customWidth="1"/>
    <col min="1025" max="1025" width="2.140625" customWidth="1"/>
    <col min="1026" max="1026" width="2" customWidth="1"/>
    <col min="1027" max="1031" width="1.7109375" customWidth="1"/>
    <col min="1032" max="1032" width="2.140625" customWidth="1"/>
    <col min="1033" max="1033" width="2.28515625" customWidth="1"/>
    <col min="1034" max="1051" width="1.7109375" customWidth="1"/>
    <col min="1052" max="1055" width="2.5703125" customWidth="1"/>
    <col min="1056" max="1057" width="1.7109375" customWidth="1"/>
    <col min="1058" max="1070" width="2" customWidth="1"/>
    <col min="1071" max="1074" width="1.7109375" customWidth="1"/>
    <col min="1075" max="1075" width="7.7109375" customWidth="1"/>
    <col min="1076" max="1077" width="8.85546875" customWidth="1"/>
    <col min="1078" max="1083" width="12.140625" customWidth="1"/>
    <col min="1281" max="1281" width="2.140625" customWidth="1"/>
    <col min="1282" max="1282" width="2" customWidth="1"/>
    <col min="1283" max="1287" width="1.7109375" customWidth="1"/>
    <col min="1288" max="1288" width="2.140625" customWidth="1"/>
    <col min="1289" max="1289" width="2.28515625" customWidth="1"/>
    <col min="1290" max="1307" width="1.7109375" customWidth="1"/>
    <col min="1308" max="1311" width="2.5703125" customWidth="1"/>
    <col min="1312" max="1313" width="1.7109375" customWidth="1"/>
    <col min="1314" max="1326" width="2" customWidth="1"/>
    <col min="1327" max="1330" width="1.7109375" customWidth="1"/>
    <col min="1331" max="1331" width="7.7109375" customWidth="1"/>
    <col min="1332" max="1333" width="8.85546875" customWidth="1"/>
    <col min="1334" max="1339" width="12.140625" customWidth="1"/>
    <col min="1537" max="1537" width="2.140625" customWidth="1"/>
    <col min="1538" max="1538" width="2" customWidth="1"/>
    <col min="1539" max="1543" width="1.7109375" customWidth="1"/>
    <col min="1544" max="1544" width="2.140625" customWidth="1"/>
    <col min="1545" max="1545" width="2.28515625" customWidth="1"/>
    <col min="1546" max="1563" width="1.7109375" customWidth="1"/>
    <col min="1564" max="1567" width="2.5703125" customWidth="1"/>
    <col min="1568" max="1569" width="1.7109375" customWidth="1"/>
    <col min="1570" max="1582" width="2" customWidth="1"/>
    <col min="1583" max="1586" width="1.7109375" customWidth="1"/>
    <col min="1587" max="1587" width="7.7109375" customWidth="1"/>
    <col min="1588" max="1589" width="8.85546875" customWidth="1"/>
    <col min="1590" max="1595" width="12.140625" customWidth="1"/>
    <col min="1793" max="1793" width="2.140625" customWidth="1"/>
    <col min="1794" max="1794" width="2" customWidth="1"/>
    <col min="1795" max="1799" width="1.7109375" customWidth="1"/>
    <col min="1800" max="1800" width="2.140625" customWidth="1"/>
    <col min="1801" max="1801" width="2.28515625" customWidth="1"/>
    <col min="1802" max="1819" width="1.7109375" customWidth="1"/>
    <col min="1820" max="1823" width="2.5703125" customWidth="1"/>
    <col min="1824" max="1825" width="1.7109375" customWidth="1"/>
    <col min="1826" max="1838" width="2" customWidth="1"/>
    <col min="1839" max="1842" width="1.7109375" customWidth="1"/>
    <col min="1843" max="1843" width="7.7109375" customWidth="1"/>
    <col min="1844" max="1845" width="8.85546875" customWidth="1"/>
    <col min="1846" max="1851" width="12.140625" customWidth="1"/>
    <col min="2049" max="2049" width="2.140625" customWidth="1"/>
    <col min="2050" max="2050" width="2" customWidth="1"/>
    <col min="2051" max="2055" width="1.7109375" customWidth="1"/>
    <col min="2056" max="2056" width="2.140625" customWidth="1"/>
    <col min="2057" max="2057" width="2.28515625" customWidth="1"/>
    <col min="2058" max="2075" width="1.7109375" customWidth="1"/>
    <col min="2076" max="2079" width="2.5703125" customWidth="1"/>
    <col min="2080" max="2081" width="1.7109375" customWidth="1"/>
    <col min="2082" max="2094" width="2" customWidth="1"/>
    <col min="2095" max="2098" width="1.7109375" customWidth="1"/>
    <col min="2099" max="2099" width="7.7109375" customWidth="1"/>
    <col min="2100" max="2101" width="8.85546875" customWidth="1"/>
    <col min="2102" max="2107" width="12.140625" customWidth="1"/>
    <col min="2305" max="2305" width="2.140625" customWidth="1"/>
    <col min="2306" max="2306" width="2" customWidth="1"/>
    <col min="2307" max="2311" width="1.7109375" customWidth="1"/>
    <col min="2312" max="2312" width="2.140625" customWidth="1"/>
    <col min="2313" max="2313" width="2.28515625" customWidth="1"/>
    <col min="2314" max="2331" width="1.7109375" customWidth="1"/>
    <col min="2332" max="2335" width="2.5703125" customWidth="1"/>
    <col min="2336" max="2337" width="1.7109375" customWidth="1"/>
    <col min="2338" max="2350" width="2" customWidth="1"/>
    <col min="2351" max="2354" width="1.7109375" customWidth="1"/>
    <col min="2355" max="2355" width="7.7109375" customWidth="1"/>
    <col min="2356" max="2357" width="8.85546875" customWidth="1"/>
    <col min="2358" max="2363" width="12.140625" customWidth="1"/>
    <col min="2561" max="2561" width="2.140625" customWidth="1"/>
    <col min="2562" max="2562" width="2" customWidth="1"/>
    <col min="2563" max="2567" width="1.7109375" customWidth="1"/>
    <col min="2568" max="2568" width="2.140625" customWidth="1"/>
    <col min="2569" max="2569" width="2.28515625" customWidth="1"/>
    <col min="2570" max="2587" width="1.7109375" customWidth="1"/>
    <col min="2588" max="2591" width="2.5703125" customWidth="1"/>
    <col min="2592" max="2593" width="1.7109375" customWidth="1"/>
    <col min="2594" max="2606" width="2" customWidth="1"/>
    <col min="2607" max="2610" width="1.7109375" customWidth="1"/>
    <col min="2611" max="2611" width="7.7109375" customWidth="1"/>
    <col min="2612" max="2613" width="8.85546875" customWidth="1"/>
    <col min="2614" max="2619" width="12.140625" customWidth="1"/>
    <col min="2817" max="2817" width="2.140625" customWidth="1"/>
    <col min="2818" max="2818" width="2" customWidth="1"/>
    <col min="2819" max="2823" width="1.7109375" customWidth="1"/>
    <col min="2824" max="2824" width="2.140625" customWidth="1"/>
    <col min="2825" max="2825" width="2.28515625" customWidth="1"/>
    <col min="2826" max="2843" width="1.7109375" customWidth="1"/>
    <col min="2844" max="2847" width="2.5703125" customWidth="1"/>
    <col min="2848" max="2849" width="1.7109375" customWidth="1"/>
    <col min="2850" max="2862" width="2" customWidth="1"/>
    <col min="2863" max="2866" width="1.7109375" customWidth="1"/>
    <col min="2867" max="2867" width="7.7109375" customWidth="1"/>
    <col min="2868" max="2869" width="8.85546875" customWidth="1"/>
    <col min="2870" max="2875" width="12.140625" customWidth="1"/>
    <col min="3073" max="3073" width="2.140625" customWidth="1"/>
    <col min="3074" max="3074" width="2" customWidth="1"/>
    <col min="3075" max="3079" width="1.7109375" customWidth="1"/>
    <col min="3080" max="3080" width="2.140625" customWidth="1"/>
    <col min="3081" max="3081" width="2.28515625" customWidth="1"/>
    <col min="3082" max="3099" width="1.7109375" customWidth="1"/>
    <col min="3100" max="3103" width="2.5703125" customWidth="1"/>
    <col min="3104" max="3105" width="1.7109375" customWidth="1"/>
    <col min="3106" max="3118" width="2" customWidth="1"/>
    <col min="3119" max="3122" width="1.7109375" customWidth="1"/>
    <col min="3123" max="3123" width="7.7109375" customWidth="1"/>
    <col min="3124" max="3125" width="8.85546875" customWidth="1"/>
    <col min="3126" max="3131" width="12.140625" customWidth="1"/>
    <col min="3329" max="3329" width="2.140625" customWidth="1"/>
    <col min="3330" max="3330" width="2" customWidth="1"/>
    <col min="3331" max="3335" width="1.7109375" customWidth="1"/>
    <col min="3336" max="3336" width="2.140625" customWidth="1"/>
    <col min="3337" max="3337" width="2.28515625" customWidth="1"/>
    <col min="3338" max="3355" width="1.7109375" customWidth="1"/>
    <col min="3356" max="3359" width="2.5703125" customWidth="1"/>
    <col min="3360" max="3361" width="1.7109375" customWidth="1"/>
    <col min="3362" max="3374" width="2" customWidth="1"/>
    <col min="3375" max="3378" width="1.7109375" customWidth="1"/>
    <col min="3379" max="3379" width="7.7109375" customWidth="1"/>
    <col min="3380" max="3381" width="8.85546875" customWidth="1"/>
    <col min="3382" max="3387" width="12.140625" customWidth="1"/>
    <col min="3585" max="3585" width="2.140625" customWidth="1"/>
    <col min="3586" max="3586" width="2" customWidth="1"/>
    <col min="3587" max="3591" width="1.7109375" customWidth="1"/>
    <col min="3592" max="3592" width="2.140625" customWidth="1"/>
    <col min="3593" max="3593" width="2.28515625" customWidth="1"/>
    <col min="3594" max="3611" width="1.7109375" customWidth="1"/>
    <col min="3612" max="3615" width="2.5703125" customWidth="1"/>
    <col min="3616" max="3617" width="1.7109375" customWidth="1"/>
    <col min="3618" max="3630" width="2" customWidth="1"/>
    <col min="3631" max="3634" width="1.7109375" customWidth="1"/>
    <col min="3635" max="3635" width="7.7109375" customWidth="1"/>
    <col min="3636" max="3637" width="8.85546875" customWidth="1"/>
    <col min="3638" max="3643" width="12.140625" customWidth="1"/>
    <col min="3841" max="3841" width="2.140625" customWidth="1"/>
    <col min="3842" max="3842" width="2" customWidth="1"/>
    <col min="3843" max="3847" width="1.7109375" customWidth="1"/>
    <col min="3848" max="3848" width="2.140625" customWidth="1"/>
    <col min="3849" max="3849" width="2.28515625" customWidth="1"/>
    <col min="3850" max="3867" width="1.7109375" customWidth="1"/>
    <col min="3868" max="3871" width="2.5703125" customWidth="1"/>
    <col min="3872" max="3873" width="1.7109375" customWidth="1"/>
    <col min="3874" max="3886" width="2" customWidth="1"/>
    <col min="3887" max="3890" width="1.7109375" customWidth="1"/>
    <col min="3891" max="3891" width="7.7109375" customWidth="1"/>
    <col min="3892" max="3893" width="8.85546875" customWidth="1"/>
    <col min="3894" max="3899" width="12.140625" customWidth="1"/>
    <col min="4097" max="4097" width="2.140625" customWidth="1"/>
    <col min="4098" max="4098" width="2" customWidth="1"/>
    <col min="4099" max="4103" width="1.7109375" customWidth="1"/>
    <col min="4104" max="4104" width="2.140625" customWidth="1"/>
    <col min="4105" max="4105" width="2.28515625" customWidth="1"/>
    <col min="4106" max="4123" width="1.7109375" customWidth="1"/>
    <col min="4124" max="4127" width="2.5703125" customWidth="1"/>
    <col min="4128" max="4129" width="1.7109375" customWidth="1"/>
    <col min="4130" max="4142" width="2" customWidth="1"/>
    <col min="4143" max="4146" width="1.7109375" customWidth="1"/>
    <col min="4147" max="4147" width="7.7109375" customWidth="1"/>
    <col min="4148" max="4149" width="8.85546875" customWidth="1"/>
    <col min="4150" max="4155" width="12.140625" customWidth="1"/>
    <col min="4353" max="4353" width="2.140625" customWidth="1"/>
    <col min="4354" max="4354" width="2" customWidth="1"/>
    <col min="4355" max="4359" width="1.7109375" customWidth="1"/>
    <col min="4360" max="4360" width="2.140625" customWidth="1"/>
    <col min="4361" max="4361" width="2.28515625" customWidth="1"/>
    <col min="4362" max="4379" width="1.7109375" customWidth="1"/>
    <col min="4380" max="4383" width="2.5703125" customWidth="1"/>
    <col min="4384" max="4385" width="1.7109375" customWidth="1"/>
    <col min="4386" max="4398" width="2" customWidth="1"/>
    <col min="4399" max="4402" width="1.7109375" customWidth="1"/>
    <col min="4403" max="4403" width="7.7109375" customWidth="1"/>
    <col min="4404" max="4405" width="8.85546875" customWidth="1"/>
    <col min="4406" max="4411" width="12.140625" customWidth="1"/>
    <col min="4609" max="4609" width="2.140625" customWidth="1"/>
    <col min="4610" max="4610" width="2" customWidth="1"/>
    <col min="4611" max="4615" width="1.7109375" customWidth="1"/>
    <col min="4616" max="4616" width="2.140625" customWidth="1"/>
    <col min="4617" max="4617" width="2.28515625" customWidth="1"/>
    <col min="4618" max="4635" width="1.7109375" customWidth="1"/>
    <col min="4636" max="4639" width="2.5703125" customWidth="1"/>
    <col min="4640" max="4641" width="1.7109375" customWidth="1"/>
    <col min="4642" max="4654" width="2" customWidth="1"/>
    <col min="4655" max="4658" width="1.7109375" customWidth="1"/>
    <col min="4659" max="4659" width="7.7109375" customWidth="1"/>
    <col min="4660" max="4661" width="8.85546875" customWidth="1"/>
    <col min="4662" max="4667" width="12.140625" customWidth="1"/>
    <col min="4865" max="4865" width="2.140625" customWidth="1"/>
    <col min="4866" max="4866" width="2" customWidth="1"/>
    <col min="4867" max="4871" width="1.7109375" customWidth="1"/>
    <col min="4872" max="4872" width="2.140625" customWidth="1"/>
    <col min="4873" max="4873" width="2.28515625" customWidth="1"/>
    <col min="4874" max="4891" width="1.7109375" customWidth="1"/>
    <col min="4892" max="4895" width="2.5703125" customWidth="1"/>
    <col min="4896" max="4897" width="1.7109375" customWidth="1"/>
    <col min="4898" max="4910" width="2" customWidth="1"/>
    <col min="4911" max="4914" width="1.7109375" customWidth="1"/>
    <col min="4915" max="4915" width="7.7109375" customWidth="1"/>
    <col min="4916" max="4917" width="8.85546875" customWidth="1"/>
    <col min="4918" max="4923" width="12.140625" customWidth="1"/>
    <col min="5121" max="5121" width="2.140625" customWidth="1"/>
    <col min="5122" max="5122" width="2" customWidth="1"/>
    <col min="5123" max="5127" width="1.7109375" customWidth="1"/>
    <col min="5128" max="5128" width="2.140625" customWidth="1"/>
    <col min="5129" max="5129" width="2.28515625" customWidth="1"/>
    <col min="5130" max="5147" width="1.7109375" customWidth="1"/>
    <col min="5148" max="5151" width="2.5703125" customWidth="1"/>
    <col min="5152" max="5153" width="1.7109375" customWidth="1"/>
    <col min="5154" max="5166" width="2" customWidth="1"/>
    <col min="5167" max="5170" width="1.7109375" customWidth="1"/>
    <col min="5171" max="5171" width="7.7109375" customWidth="1"/>
    <col min="5172" max="5173" width="8.85546875" customWidth="1"/>
    <col min="5174" max="5179" width="12.140625" customWidth="1"/>
    <col min="5377" max="5377" width="2.140625" customWidth="1"/>
    <col min="5378" max="5378" width="2" customWidth="1"/>
    <col min="5379" max="5383" width="1.7109375" customWidth="1"/>
    <col min="5384" max="5384" width="2.140625" customWidth="1"/>
    <col min="5385" max="5385" width="2.28515625" customWidth="1"/>
    <col min="5386" max="5403" width="1.7109375" customWidth="1"/>
    <col min="5404" max="5407" width="2.5703125" customWidth="1"/>
    <col min="5408" max="5409" width="1.7109375" customWidth="1"/>
    <col min="5410" max="5422" width="2" customWidth="1"/>
    <col min="5423" max="5426" width="1.7109375" customWidth="1"/>
    <col min="5427" max="5427" width="7.7109375" customWidth="1"/>
    <col min="5428" max="5429" width="8.85546875" customWidth="1"/>
    <col min="5430" max="5435" width="12.140625" customWidth="1"/>
    <col min="5633" max="5633" width="2.140625" customWidth="1"/>
    <col min="5634" max="5634" width="2" customWidth="1"/>
    <col min="5635" max="5639" width="1.7109375" customWidth="1"/>
    <col min="5640" max="5640" width="2.140625" customWidth="1"/>
    <col min="5641" max="5641" width="2.28515625" customWidth="1"/>
    <col min="5642" max="5659" width="1.7109375" customWidth="1"/>
    <col min="5660" max="5663" width="2.5703125" customWidth="1"/>
    <col min="5664" max="5665" width="1.7109375" customWidth="1"/>
    <col min="5666" max="5678" width="2" customWidth="1"/>
    <col min="5679" max="5682" width="1.7109375" customWidth="1"/>
    <col min="5683" max="5683" width="7.7109375" customWidth="1"/>
    <col min="5684" max="5685" width="8.85546875" customWidth="1"/>
    <col min="5686" max="5691" width="12.140625" customWidth="1"/>
    <col min="5889" max="5889" width="2.140625" customWidth="1"/>
    <col min="5890" max="5890" width="2" customWidth="1"/>
    <col min="5891" max="5895" width="1.7109375" customWidth="1"/>
    <col min="5896" max="5896" width="2.140625" customWidth="1"/>
    <col min="5897" max="5897" width="2.28515625" customWidth="1"/>
    <col min="5898" max="5915" width="1.7109375" customWidth="1"/>
    <col min="5916" max="5919" width="2.5703125" customWidth="1"/>
    <col min="5920" max="5921" width="1.7109375" customWidth="1"/>
    <col min="5922" max="5934" width="2" customWidth="1"/>
    <col min="5935" max="5938" width="1.7109375" customWidth="1"/>
    <col min="5939" max="5939" width="7.7109375" customWidth="1"/>
    <col min="5940" max="5941" width="8.85546875" customWidth="1"/>
    <col min="5942" max="5947" width="12.140625" customWidth="1"/>
    <col min="6145" max="6145" width="2.140625" customWidth="1"/>
    <col min="6146" max="6146" width="2" customWidth="1"/>
    <col min="6147" max="6151" width="1.7109375" customWidth="1"/>
    <col min="6152" max="6152" width="2.140625" customWidth="1"/>
    <col min="6153" max="6153" width="2.28515625" customWidth="1"/>
    <col min="6154" max="6171" width="1.7109375" customWidth="1"/>
    <col min="6172" max="6175" width="2.5703125" customWidth="1"/>
    <col min="6176" max="6177" width="1.7109375" customWidth="1"/>
    <col min="6178" max="6190" width="2" customWidth="1"/>
    <col min="6191" max="6194" width="1.7109375" customWidth="1"/>
    <col min="6195" max="6195" width="7.7109375" customWidth="1"/>
    <col min="6196" max="6197" width="8.85546875" customWidth="1"/>
    <col min="6198" max="6203" width="12.140625" customWidth="1"/>
    <col min="6401" max="6401" width="2.140625" customWidth="1"/>
    <col min="6402" max="6402" width="2" customWidth="1"/>
    <col min="6403" max="6407" width="1.7109375" customWidth="1"/>
    <col min="6408" max="6408" width="2.140625" customWidth="1"/>
    <col min="6409" max="6409" width="2.28515625" customWidth="1"/>
    <col min="6410" max="6427" width="1.7109375" customWidth="1"/>
    <col min="6428" max="6431" width="2.5703125" customWidth="1"/>
    <col min="6432" max="6433" width="1.7109375" customWidth="1"/>
    <col min="6434" max="6446" width="2" customWidth="1"/>
    <col min="6447" max="6450" width="1.7109375" customWidth="1"/>
    <col min="6451" max="6451" width="7.7109375" customWidth="1"/>
    <col min="6452" max="6453" width="8.85546875" customWidth="1"/>
    <col min="6454" max="6459" width="12.140625" customWidth="1"/>
    <col min="6657" max="6657" width="2.140625" customWidth="1"/>
    <col min="6658" max="6658" width="2" customWidth="1"/>
    <col min="6659" max="6663" width="1.7109375" customWidth="1"/>
    <col min="6664" max="6664" width="2.140625" customWidth="1"/>
    <col min="6665" max="6665" width="2.28515625" customWidth="1"/>
    <col min="6666" max="6683" width="1.7109375" customWidth="1"/>
    <col min="6684" max="6687" width="2.5703125" customWidth="1"/>
    <col min="6688" max="6689" width="1.7109375" customWidth="1"/>
    <col min="6690" max="6702" width="2" customWidth="1"/>
    <col min="6703" max="6706" width="1.7109375" customWidth="1"/>
    <col min="6707" max="6707" width="7.7109375" customWidth="1"/>
    <col min="6708" max="6709" width="8.85546875" customWidth="1"/>
    <col min="6710" max="6715" width="12.140625" customWidth="1"/>
    <col min="6913" max="6913" width="2.140625" customWidth="1"/>
    <col min="6914" max="6914" width="2" customWidth="1"/>
    <col min="6915" max="6919" width="1.7109375" customWidth="1"/>
    <col min="6920" max="6920" width="2.140625" customWidth="1"/>
    <col min="6921" max="6921" width="2.28515625" customWidth="1"/>
    <col min="6922" max="6939" width="1.7109375" customWidth="1"/>
    <col min="6940" max="6943" width="2.5703125" customWidth="1"/>
    <col min="6944" max="6945" width="1.7109375" customWidth="1"/>
    <col min="6946" max="6958" width="2" customWidth="1"/>
    <col min="6959" max="6962" width="1.7109375" customWidth="1"/>
    <col min="6963" max="6963" width="7.7109375" customWidth="1"/>
    <col min="6964" max="6965" width="8.85546875" customWidth="1"/>
    <col min="6966" max="6971" width="12.140625" customWidth="1"/>
    <col min="7169" max="7169" width="2.140625" customWidth="1"/>
    <col min="7170" max="7170" width="2" customWidth="1"/>
    <col min="7171" max="7175" width="1.7109375" customWidth="1"/>
    <col min="7176" max="7176" width="2.140625" customWidth="1"/>
    <col min="7177" max="7177" width="2.28515625" customWidth="1"/>
    <col min="7178" max="7195" width="1.7109375" customWidth="1"/>
    <col min="7196" max="7199" width="2.5703125" customWidth="1"/>
    <col min="7200" max="7201" width="1.7109375" customWidth="1"/>
    <col min="7202" max="7214" width="2" customWidth="1"/>
    <col min="7215" max="7218" width="1.7109375" customWidth="1"/>
    <col min="7219" max="7219" width="7.7109375" customWidth="1"/>
    <col min="7220" max="7221" width="8.85546875" customWidth="1"/>
    <col min="7222" max="7227" width="12.140625" customWidth="1"/>
    <col min="7425" max="7425" width="2.140625" customWidth="1"/>
    <col min="7426" max="7426" width="2" customWidth="1"/>
    <col min="7427" max="7431" width="1.7109375" customWidth="1"/>
    <col min="7432" max="7432" width="2.140625" customWidth="1"/>
    <col min="7433" max="7433" width="2.28515625" customWidth="1"/>
    <col min="7434" max="7451" width="1.7109375" customWidth="1"/>
    <col min="7452" max="7455" width="2.5703125" customWidth="1"/>
    <col min="7456" max="7457" width="1.7109375" customWidth="1"/>
    <col min="7458" max="7470" width="2" customWidth="1"/>
    <col min="7471" max="7474" width="1.7109375" customWidth="1"/>
    <col min="7475" max="7475" width="7.7109375" customWidth="1"/>
    <col min="7476" max="7477" width="8.85546875" customWidth="1"/>
    <col min="7478" max="7483" width="12.140625" customWidth="1"/>
    <col min="7681" max="7681" width="2.140625" customWidth="1"/>
    <col min="7682" max="7682" width="2" customWidth="1"/>
    <col min="7683" max="7687" width="1.7109375" customWidth="1"/>
    <col min="7688" max="7688" width="2.140625" customWidth="1"/>
    <col min="7689" max="7689" width="2.28515625" customWidth="1"/>
    <col min="7690" max="7707" width="1.7109375" customWidth="1"/>
    <col min="7708" max="7711" width="2.5703125" customWidth="1"/>
    <col min="7712" max="7713" width="1.7109375" customWidth="1"/>
    <col min="7714" max="7726" width="2" customWidth="1"/>
    <col min="7727" max="7730" width="1.7109375" customWidth="1"/>
    <col min="7731" max="7731" width="7.7109375" customWidth="1"/>
    <col min="7732" max="7733" width="8.85546875" customWidth="1"/>
    <col min="7734" max="7739" width="12.140625" customWidth="1"/>
    <col min="7937" max="7937" width="2.140625" customWidth="1"/>
    <col min="7938" max="7938" width="2" customWidth="1"/>
    <col min="7939" max="7943" width="1.7109375" customWidth="1"/>
    <col min="7944" max="7944" width="2.140625" customWidth="1"/>
    <col min="7945" max="7945" width="2.28515625" customWidth="1"/>
    <col min="7946" max="7963" width="1.7109375" customWidth="1"/>
    <col min="7964" max="7967" width="2.5703125" customWidth="1"/>
    <col min="7968" max="7969" width="1.7109375" customWidth="1"/>
    <col min="7970" max="7982" width="2" customWidth="1"/>
    <col min="7983" max="7986" width="1.7109375" customWidth="1"/>
    <col min="7987" max="7987" width="7.7109375" customWidth="1"/>
    <col min="7988" max="7989" width="8.85546875" customWidth="1"/>
    <col min="7990" max="7995" width="12.140625" customWidth="1"/>
    <col min="8193" max="8193" width="2.140625" customWidth="1"/>
    <col min="8194" max="8194" width="2" customWidth="1"/>
    <col min="8195" max="8199" width="1.7109375" customWidth="1"/>
    <col min="8200" max="8200" width="2.140625" customWidth="1"/>
    <col min="8201" max="8201" width="2.28515625" customWidth="1"/>
    <col min="8202" max="8219" width="1.7109375" customWidth="1"/>
    <col min="8220" max="8223" width="2.5703125" customWidth="1"/>
    <col min="8224" max="8225" width="1.7109375" customWidth="1"/>
    <col min="8226" max="8238" width="2" customWidth="1"/>
    <col min="8239" max="8242" width="1.7109375" customWidth="1"/>
    <col min="8243" max="8243" width="7.7109375" customWidth="1"/>
    <col min="8244" max="8245" width="8.85546875" customWidth="1"/>
    <col min="8246" max="8251" width="12.140625" customWidth="1"/>
    <col min="8449" max="8449" width="2.140625" customWidth="1"/>
    <col min="8450" max="8450" width="2" customWidth="1"/>
    <col min="8451" max="8455" width="1.7109375" customWidth="1"/>
    <col min="8456" max="8456" width="2.140625" customWidth="1"/>
    <col min="8457" max="8457" width="2.28515625" customWidth="1"/>
    <col min="8458" max="8475" width="1.7109375" customWidth="1"/>
    <col min="8476" max="8479" width="2.5703125" customWidth="1"/>
    <col min="8480" max="8481" width="1.7109375" customWidth="1"/>
    <col min="8482" max="8494" width="2" customWidth="1"/>
    <col min="8495" max="8498" width="1.7109375" customWidth="1"/>
    <col min="8499" max="8499" width="7.7109375" customWidth="1"/>
    <col min="8500" max="8501" width="8.85546875" customWidth="1"/>
    <col min="8502" max="8507" width="12.140625" customWidth="1"/>
    <col min="8705" max="8705" width="2.140625" customWidth="1"/>
    <col min="8706" max="8706" width="2" customWidth="1"/>
    <col min="8707" max="8711" width="1.7109375" customWidth="1"/>
    <col min="8712" max="8712" width="2.140625" customWidth="1"/>
    <col min="8713" max="8713" width="2.28515625" customWidth="1"/>
    <col min="8714" max="8731" width="1.7109375" customWidth="1"/>
    <col min="8732" max="8735" width="2.5703125" customWidth="1"/>
    <col min="8736" max="8737" width="1.7109375" customWidth="1"/>
    <col min="8738" max="8750" width="2" customWidth="1"/>
    <col min="8751" max="8754" width="1.7109375" customWidth="1"/>
    <col min="8755" max="8755" width="7.7109375" customWidth="1"/>
    <col min="8756" max="8757" width="8.85546875" customWidth="1"/>
    <col min="8758" max="8763" width="12.140625" customWidth="1"/>
    <col min="8961" max="8961" width="2.140625" customWidth="1"/>
    <col min="8962" max="8962" width="2" customWidth="1"/>
    <col min="8963" max="8967" width="1.7109375" customWidth="1"/>
    <col min="8968" max="8968" width="2.140625" customWidth="1"/>
    <col min="8969" max="8969" width="2.28515625" customWidth="1"/>
    <col min="8970" max="8987" width="1.7109375" customWidth="1"/>
    <col min="8988" max="8991" width="2.5703125" customWidth="1"/>
    <col min="8992" max="8993" width="1.7109375" customWidth="1"/>
    <col min="8994" max="9006" width="2" customWidth="1"/>
    <col min="9007" max="9010" width="1.7109375" customWidth="1"/>
    <col min="9011" max="9011" width="7.7109375" customWidth="1"/>
    <col min="9012" max="9013" width="8.85546875" customWidth="1"/>
    <col min="9014" max="9019" width="12.140625" customWidth="1"/>
    <col min="9217" max="9217" width="2.140625" customWidth="1"/>
    <col min="9218" max="9218" width="2" customWidth="1"/>
    <col min="9219" max="9223" width="1.7109375" customWidth="1"/>
    <col min="9224" max="9224" width="2.140625" customWidth="1"/>
    <col min="9225" max="9225" width="2.28515625" customWidth="1"/>
    <col min="9226" max="9243" width="1.7109375" customWidth="1"/>
    <col min="9244" max="9247" width="2.5703125" customWidth="1"/>
    <col min="9248" max="9249" width="1.7109375" customWidth="1"/>
    <col min="9250" max="9262" width="2" customWidth="1"/>
    <col min="9263" max="9266" width="1.7109375" customWidth="1"/>
    <col min="9267" max="9267" width="7.7109375" customWidth="1"/>
    <col min="9268" max="9269" width="8.85546875" customWidth="1"/>
    <col min="9270" max="9275" width="12.140625" customWidth="1"/>
    <col min="9473" max="9473" width="2.140625" customWidth="1"/>
    <col min="9474" max="9474" width="2" customWidth="1"/>
    <col min="9475" max="9479" width="1.7109375" customWidth="1"/>
    <col min="9480" max="9480" width="2.140625" customWidth="1"/>
    <col min="9481" max="9481" width="2.28515625" customWidth="1"/>
    <col min="9482" max="9499" width="1.7109375" customWidth="1"/>
    <col min="9500" max="9503" width="2.5703125" customWidth="1"/>
    <col min="9504" max="9505" width="1.7109375" customWidth="1"/>
    <col min="9506" max="9518" width="2" customWidth="1"/>
    <col min="9519" max="9522" width="1.7109375" customWidth="1"/>
    <col min="9523" max="9523" width="7.7109375" customWidth="1"/>
    <col min="9524" max="9525" width="8.85546875" customWidth="1"/>
    <col min="9526" max="9531" width="12.140625" customWidth="1"/>
    <col min="9729" max="9729" width="2.140625" customWidth="1"/>
    <col min="9730" max="9730" width="2" customWidth="1"/>
    <col min="9731" max="9735" width="1.7109375" customWidth="1"/>
    <col min="9736" max="9736" width="2.140625" customWidth="1"/>
    <col min="9737" max="9737" width="2.28515625" customWidth="1"/>
    <col min="9738" max="9755" width="1.7109375" customWidth="1"/>
    <col min="9756" max="9759" width="2.5703125" customWidth="1"/>
    <col min="9760" max="9761" width="1.7109375" customWidth="1"/>
    <col min="9762" max="9774" width="2" customWidth="1"/>
    <col min="9775" max="9778" width="1.7109375" customWidth="1"/>
    <col min="9779" max="9779" width="7.7109375" customWidth="1"/>
    <col min="9780" max="9781" width="8.85546875" customWidth="1"/>
    <col min="9782" max="9787" width="12.140625" customWidth="1"/>
    <col min="9985" max="9985" width="2.140625" customWidth="1"/>
    <col min="9986" max="9986" width="2" customWidth="1"/>
    <col min="9987" max="9991" width="1.7109375" customWidth="1"/>
    <col min="9992" max="9992" width="2.140625" customWidth="1"/>
    <col min="9993" max="9993" width="2.28515625" customWidth="1"/>
    <col min="9994" max="10011" width="1.7109375" customWidth="1"/>
    <col min="10012" max="10015" width="2.5703125" customWidth="1"/>
    <col min="10016" max="10017" width="1.7109375" customWidth="1"/>
    <col min="10018" max="10030" width="2" customWidth="1"/>
    <col min="10031" max="10034" width="1.7109375" customWidth="1"/>
    <col min="10035" max="10035" width="7.7109375" customWidth="1"/>
    <col min="10036" max="10037" width="8.85546875" customWidth="1"/>
    <col min="10038" max="10043" width="12.140625" customWidth="1"/>
    <col min="10241" max="10241" width="2.140625" customWidth="1"/>
    <col min="10242" max="10242" width="2" customWidth="1"/>
    <col min="10243" max="10247" width="1.7109375" customWidth="1"/>
    <col min="10248" max="10248" width="2.140625" customWidth="1"/>
    <col min="10249" max="10249" width="2.28515625" customWidth="1"/>
    <col min="10250" max="10267" width="1.7109375" customWidth="1"/>
    <col min="10268" max="10271" width="2.5703125" customWidth="1"/>
    <col min="10272" max="10273" width="1.7109375" customWidth="1"/>
    <col min="10274" max="10286" width="2" customWidth="1"/>
    <col min="10287" max="10290" width="1.7109375" customWidth="1"/>
    <col min="10291" max="10291" width="7.7109375" customWidth="1"/>
    <col min="10292" max="10293" width="8.85546875" customWidth="1"/>
    <col min="10294" max="10299" width="12.140625" customWidth="1"/>
    <col min="10497" max="10497" width="2.140625" customWidth="1"/>
    <col min="10498" max="10498" width="2" customWidth="1"/>
    <col min="10499" max="10503" width="1.7109375" customWidth="1"/>
    <col min="10504" max="10504" width="2.140625" customWidth="1"/>
    <col min="10505" max="10505" width="2.28515625" customWidth="1"/>
    <col min="10506" max="10523" width="1.7109375" customWidth="1"/>
    <col min="10524" max="10527" width="2.5703125" customWidth="1"/>
    <col min="10528" max="10529" width="1.7109375" customWidth="1"/>
    <col min="10530" max="10542" width="2" customWidth="1"/>
    <col min="10543" max="10546" width="1.7109375" customWidth="1"/>
    <col min="10547" max="10547" width="7.7109375" customWidth="1"/>
    <col min="10548" max="10549" width="8.85546875" customWidth="1"/>
    <col min="10550" max="10555" width="12.140625" customWidth="1"/>
    <col min="10753" max="10753" width="2.140625" customWidth="1"/>
    <col min="10754" max="10754" width="2" customWidth="1"/>
    <col min="10755" max="10759" width="1.7109375" customWidth="1"/>
    <col min="10760" max="10760" width="2.140625" customWidth="1"/>
    <col min="10761" max="10761" width="2.28515625" customWidth="1"/>
    <col min="10762" max="10779" width="1.7109375" customWidth="1"/>
    <col min="10780" max="10783" width="2.5703125" customWidth="1"/>
    <col min="10784" max="10785" width="1.7109375" customWidth="1"/>
    <col min="10786" max="10798" width="2" customWidth="1"/>
    <col min="10799" max="10802" width="1.7109375" customWidth="1"/>
    <col min="10803" max="10803" width="7.7109375" customWidth="1"/>
    <col min="10804" max="10805" width="8.85546875" customWidth="1"/>
    <col min="10806" max="10811" width="12.140625" customWidth="1"/>
    <col min="11009" max="11009" width="2.140625" customWidth="1"/>
    <col min="11010" max="11010" width="2" customWidth="1"/>
    <col min="11011" max="11015" width="1.7109375" customWidth="1"/>
    <col min="11016" max="11016" width="2.140625" customWidth="1"/>
    <col min="11017" max="11017" width="2.28515625" customWidth="1"/>
    <col min="11018" max="11035" width="1.7109375" customWidth="1"/>
    <col min="11036" max="11039" width="2.5703125" customWidth="1"/>
    <col min="11040" max="11041" width="1.7109375" customWidth="1"/>
    <col min="11042" max="11054" width="2" customWidth="1"/>
    <col min="11055" max="11058" width="1.7109375" customWidth="1"/>
    <col min="11059" max="11059" width="7.7109375" customWidth="1"/>
    <col min="11060" max="11061" width="8.85546875" customWidth="1"/>
    <col min="11062" max="11067" width="12.140625" customWidth="1"/>
    <col min="11265" max="11265" width="2.140625" customWidth="1"/>
    <col min="11266" max="11266" width="2" customWidth="1"/>
    <col min="11267" max="11271" width="1.7109375" customWidth="1"/>
    <col min="11272" max="11272" width="2.140625" customWidth="1"/>
    <col min="11273" max="11273" width="2.28515625" customWidth="1"/>
    <col min="11274" max="11291" width="1.7109375" customWidth="1"/>
    <col min="11292" max="11295" width="2.5703125" customWidth="1"/>
    <col min="11296" max="11297" width="1.7109375" customWidth="1"/>
    <col min="11298" max="11310" width="2" customWidth="1"/>
    <col min="11311" max="11314" width="1.7109375" customWidth="1"/>
    <col min="11315" max="11315" width="7.7109375" customWidth="1"/>
    <col min="11316" max="11317" width="8.85546875" customWidth="1"/>
    <col min="11318" max="11323" width="12.140625" customWidth="1"/>
    <col min="11521" max="11521" width="2.140625" customWidth="1"/>
    <col min="11522" max="11522" width="2" customWidth="1"/>
    <col min="11523" max="11527" width="1.7109375" customWidth="1"/>
    <col min="11528" max="11528" width="2.140625" customWidth="1"/>
    <col min="11529" max="11529" width="2.28515625" customWidth="1"/>
    <col min="11530" max="11547" width="1.7109375" customWidth="1"/>
    <col min="11548" max="11551" width="2.5703125" customWidth="1"/>
    <col min="11552" max="11553" width="1.7109375" customWidth="1"/>
    <col min="11554" max="11566" width="2" customWidth="1"/>
    <col min="11567" max="11570" width="1.7109375" customWidth="1"/>
    <col min="11571" max="11571" width="7.7109375" customWidth="1"/>
    <col min="11572" max="11573" width="8.85546875" customWidth="1"/>
    <col min="11574" max="11579" width="12.140625" customWidth="1"/>
    <col min="11777" max="11777" width="2.140625" customWidth="1"/>
    <col min="11778" max="11778" width="2" customWidth="1"/>
    <col min="11779" max="11783" width="1.7109375" customWidth="1"/>
    <col min="11784" max="11784" width="2.140625" customWidth="1"/>
    <col min="11785" max="11785" width="2.28515625" customWidth="1"/>
    <col min="11786" max="11803" width="1.7109375" customWidth="1"/>
    <col min="11804" max="11807" width="2.5703125" customWidth="1"/>
    <col min="11808" max="11809" width="1.7109375" customWidth="1"/>
    <col min="11810" max="11822" width="2" customWidth="1"/>
    <col min="11823" max="11826" width="1.7109375" customWidth="1"/>
    <col min="11827" max="11827" width="7.7109375" customWidth="1"/>
    <col min="11828" max="11829" width="8.85546875" customWidth="1"/>
    <col min="11830" max="11835" width="12.140625" customWidth="1"/>
    <col min="12033" max="12033" width="2.140625" customWidth="1"/>
    <col min="12034" max="12034" width="2" customWidth="1"/>
    <col min="12035" max="12039" width="1.7109375" customWidth="1"/>
    <col min="12040" max="12040" width="2.140625" customWidth="1"/>
    <col min="12041" max="12041" width="2.28515625" customWidth="1"/>
    <col min="12042" max="12059" width="1.7109375" customWidth="1"/>
    <col min="12060" max="12063" width="2.5703125" customWidth="1"/>
    <col min="12064" max="12065" width="1.7109375" customWidth="1"/>
    <col min="12066" max="12078" width="2" customWidth="1"/>
    <col min="12079" max="12082" width="1.7109375" customWidth="1"/>
    <col min="12083" max="12083" width="7.7109375" customWidth="1"/>
    <col min="12084" max="12085" width="8.85546875" customWidth="1"/>
    <col min="12086" max="12091" width="12.140625" customWidth="1"/>
    <col min="12289" max="12289" width="2.140625" customWidth="1"/>
    <col min="12290" max="12290" width="2" customWidth="1"/>
    <col min="12291" max="12295" width="1.7109375" customWidth="1"/>
    <col min="12296" max="12296" width="2.140625" customWidth="1"/>
    <col min="12297" max="12297" width="2.28515625" customWidth="1"/>
    <col min="12298" max="12315" width="1.7109375" customWidth="1"/>
    <col min="12316" max="12319" width="2.5703125" customWidth="1"/>
    <col min="12320" max="12321" width="1.7109375" customWidth="1"/>
    <col min="12322" max="12334" width="2" customWidth="1"/>
    <col min="12335" max="12338" width="1.7109375" customWidth="1"/>
    <col min="12339" max="12339" width="7.7109375" customWidth="1"/>
    <col min="12340" max="12341" width="8.85546875" customWidth="1"/>
    <col min="12342" max="12347" width="12.140625" customWidth="1"/>
    <col min="12545" max="12545" width="2.140625" customWidth="1"/>
    <col min="12546" max="12546" width="2" customWidth="1"/>
    <col min="12547" max="12551" width="1.7109375" customWidth="1"/>
    <col min="12552" max="12552" width="2.140625" customWidth="1"/>
    <col min="12553" max="12553" width="2.28515625" customWidth="1"/>
    <col min="12554" max="12571" width="1.7109375" customWidth="1"/>
    <col min="12572" max="12575" width="2.5703125" customWidth="1"/>
    <col min="12576" max="12577" width="1.7109375" customWidth="1"/>
    <col min="12578" max="12590" width="2" customWidth="1"/>
    <col min="12591" max="12594" width="1.7109375" customWidth="1"/>
    <col min="12595" max="12595" width="7.7109375" customWidth="1"/>
    <col min="12596" max="12597" width="8.85546875" customWidth="1"/>
    <col min="12598" max="12603" width="12.140625" customWidth="1"/>
    <col min="12801" max="12801" width="2.140625" customWidth="1"/>
    <col min="12802" max="12802" width="2" customWidth="1"/>
    <col min="12803" max="12807" width="1.7109375" customWidth="1"/>
    <col min="12808" max="12808" width="2.140625" customWidth="1"/>
    <col min="12809" max="12809" width="2.28515625" customWidth="1"/>
    <col min="12810" max="12827" width="1.7109375" customWidth="1"/>
    <col min="12828" max="12831" width="2.5703125" customWidth="1"/>
    <col min="12832" max="12833" width="1.7109375" customWidth="1"/>
    <col min="12834" max="12846" width="2" customWidth="1"/>
    <col min="12847" max="12850" width="1.7109375" customWidth="1"/>
    <col min="12851" max="12851" width="7.7109375" customWidth="1"/>
    <col min="12852" max="12853" width="8.85546875" customWidth="1"/>
    <col min="12854" max="12859" width="12.140625" customWidth="1"/>
    <col min="13057" max="13057" width="2.140625" customWidth="1"/>
    <col min="13058" max="13058" width="2" customWidth="1"/>
    <col min="13059" max="13063" width="1.7109375" customWidth="1"/>
    <col min="13064" max="13064" width="2.140625" customWidth="1"/>
    <col min="13065" max="13065" width="2.28515625" customWidth="1"/>
    <col min="13066" max="13083" width="1.7109375" customWidth="1"/>
    <col min="13084" max="13087" width="2.5703125" customWidth="1"/>
    <col min="13088" max="13089" width="1.7109375" customWidth="1"/>
    <col min="13090" max="13102" width="2" customWidth="1"/>
    <col min="13103" max="13106" width="1.7109375" customWidth="1"/>
    <col min="13107" max="13107" width="7.7109375" customWidth="1"/>
    <col min="13108" max="13109" width="8.85546875" customWidth="1"/>
    <col min="13110" max="13115" width="12.140625" customWidth="1"/>
    <col min="13313" max="13313" width="2.140625" customWidth="1"/>
    <col min="13314" max="13314" width="2" customWidth="1"/>
    <col min="13315" max="13319" width="1.7109375" customWidth="1"/>
    <col min="13320" max="13320" width="2.140625" customWidth="1"/>
    <col min="13321" max="13321" width="2.28515625" customWidth="1"/>
    <col min="13322" max="13339" width="1.7109375" customWidth="1"/>
    <col min="13340" max="13343" width="2.5703125" customWidth="1"/>
    <col min="13344" max="13345" width="1.7109375" customWidth="1"/>
    <col min="13346" max="13358" width="2" customWidth="1"/>
    <col min="13359" max="13362" width="1.7109375" customWidth="1"/>
    <col min="13363" max="13363" width="7.7109375" customWidth="1"/>
    <col min="13364" max="13365" width="8.85546875" customWidth="1"/>
    <col min="13366" max="13371" width="12.140625" customWidth="1"/>
    <col min="13569" max="13569" width="2.140625" customWidth="1"/>
    <col min="13570" max="13570" width="2" customWidth="1"/>
    <col min="13571" max="13575" width="1.7109375" customWidth="1"/>
    <col min="13576" max="13576" width="2.140625" customWidth="1"/>
    <col min="13577" max="13577" width="2.28515625" customWidth="1"/>
    <col min="13578" max="13595" width="1.7109375" customWidth="1"/>
    <col min="13596" max="13599" width="2.5703125" customWidth="1"/>
    <col min="13600" max="13601" width="1.7109375" customWidth="1"/>
    <col min="13602" max="13614" width="2" customWidth="1"/>
    <col min="13615" max="13618" width="1.7109375" customWidth="1"/>
    <col min="13619" max="13619" width="7.7109375" customWidth="1"/>
    <col min="13620" max="13621" width="8.85546875" customWidth="1"/>
    <col min="13622" max="13627" width="12.140625" customWidth="1"/>
    <col min="13825" max="13825" width="2.140625" customWidth="1"/>
    <col min="13826" max="13826" width="2" customWidth="1"/>
    <col min="13827" max="13831" width="1.7109375" customWidth="1"/>
    <col min="13832" max="13832" width="2.140625" customWidth="1"/>
    <col min="13833" max="13833" width="2.28515625" customWidth="1"/>
    <col min="13834" max="13851" width="1.7109375" customWidth="1"/>
    <col min="13852" max="13855" width="2.5703125" customWidth="1"/>
    <col min="13856" max="13857" width="1.7109375" customWidth="1"/>
    <col min="13858" max="13870" width="2" customWidth="1"/>
    <col min="13871" max="13874" width="1.7109375" customWidth="1"/>
    <col min="13875" max="13875" width="7.7109375" customWidth="1"/>
    <col min="13876" max="13877" width="8.85546875" customWidth="1"/>
    <col min="13878" max="13883" width="12.140625" customWidth="1"/>
    <col min="14081" max="14081" width="2.140625" customWidth="1"/>
    <col min="14082" max="14082" width="2" customWidth="1"/>
    <col min="14083" max="14087" width="1.7109375" customWidth="1"/>
    <col min="14088" max="14088" width="2.140625" customWidth="1"/>
    <col min="14089" max="14089" width="2.28515625" customWidth="1"/>
    <col min="14090" max="14107" width="1.7109375" customWidth="1"/>
    <col min="14108" max="14111" width="2.5703125" customWidth="1"/>
    <col min="14112" max="14113" width="1.7109375" customWidth="1"/>
    <col min="14114" max="14126" width="2" customWidth="1"/>
    <col min="14127" max="14130" width="1.7109375" customWidth="1"/>
    <col min="14131" max="14131" width="7.7109375" customWidth="1"/>
    <col min="14132" max="14133" width="8.85546875" customWidth="1"/>
    <col min="14134" max="14139" width="12.140625" customWidth="1"/>
    <col min="14337" max="14337" width="2.140625" customWidth="1"/>
    <col min="14338" max="14338" width="2" customWidth="1"/>
    <col min="14339" max="14343" width="1.7109375" customWidth="1"/>
    <col min="14344" max="14344" width="2.140625" customWidth="1"/>
    <col min="14345" max="14345" width="2.28515625" customWidth="1"/>
    <col min="14346" max="14363" width="1.7109375" customWidth="1"/>
    <col min="14364" max="14367" width="2.5703125" customWidth="1"/>
    <col min="14368" max="14369" width="1.7109375" customWidth="1"/>
    <col min="14370" max="14382" width="2" customWidth="1"/>
    <col min="14383" max="14386" width="1.7109375" customWidth="1"/>
    <col min="14387" max="14387" width="7.7109375" customWidth="1"/>
    <col min="14388" max="14389" width="8.85546875" customWidth="1"/>
    <col min="14390" max="14395" width="12.140625" customWidth="1"/>
    <col min="14593" max="14593" width="2.140625" customWidth="1"/>
    <col min="14594" max="14594" width="2" customWidth="1"/>
    <col min="14595" max="14599" width="1.7109375" customWidth="1"/>
    <col min="14600" max="14600" width="2.140625" customWidth="1"/>
    <col min="14601" max="14601" width="2.28515625" customWidth="1"/>
    <col min="14602" max="14619" width="1.7109375" customWidth="1"/>
    <col min="14620" max="14623" width="2.5703125" customWidth="1"/>
    <col min="14624" max="14625" width="1.7109375" customWidth="1"/>
    <col min="14626" max="14638" width="2" customWidth="1"/>
    <col min="14639" max="14642" width="1.7109375" customWidth="1"/>
    <col min="14643" max="14643" width="7.7109375" customWidth="1"/>
    <col min="14644" max="14645" width="8.85546875" customWidth="1"/>
    <col min="14646" max="14651" width="12.140625" customWidth="1"/>
    <col min="14849" max="14849" width="2.140625" customWidth="1"/>
    <col min="14850" max="14850" width="2" customWidth="1"/>
    <col min="14851" max="14855" width="1.7109375" customWidth="1"/>
    <col min="14856" max="14856" width="2.140625" customWidth="1"/>
    <col min="14857" max="14857" width="2.28515625" customWidth="1"/>
    <col min="14858" max="14875" width="1.7109375" customWidth="1"/>
    <col min="14876" max="14879" width="2.5703125" customWidth="1"/>
    <col min="14880" max="14881" width="1.7109375" customWidth="1"/>
    <col min="14882" max="14894" width="2" customWidth="1"/>
    <col min="14895" max="14898" width="1.7109375" customWidth="1"/>
    <col min="14899" max="14899" width="7.7109375" customWidth="1"/>
    <col min="14900" max="14901" width="8.85546875" customWidth="1"/>
    <col min="14902" max="14907" width="12.140625" customWidth="1"/>
    <col min="15105" max="15105" width="2.140625" customWidth="1"/>
    <col min="15106" max="15106" width="2" customWidth="1"/>
    <col min="15107" max="15111" width="1.7109375" customWidth="1"/>
    <col min="15112" max="15112" width="2.140625" customWidth="1"/>
    <col min="15113" max="15113" width="2.28515625" customWidth="1"/>
    <col min="15114" max="15131" width="1.7109375" customWidth="1"/>
    <col min="15132" max="15135" width="2.5703125" customWidth="1"/>
    <col min="15136" max="15137" width="1.7109375" customWidth="1"/>
    <col min="15138" max="15150" width="2" customWidth="1"/>
    <col min="15151" max="15154" width="1.7109375" customWidth="1"/>
    <col min="15155" max="15155" width="7.7109375" customWidth="1"/>
    <col min="15156" max="15157" width="8.85546875" customWidth="1"/>
    <col min="15158" max="15163" width="12.140625" customWidth="1"/>
    <col min="15361" max="15361" width="2.140625" customWidth="1"/>
    <col min="15362" max="15362" width="2" customWidth="1"/>
    <col min="15363" max="15367" width="1.7109375" customWidth="1"/>
    <col min="15368" max="15368" width="2.140625" customWidth="1"/>
    <col min="15369" max="15369" width="2.28515625" customWidth="1"/>
    <col min="15370" max="15387" width="1.7109375" customWidth="1"/>
    <col min="15388" max="15391" width="2.5703125" customWidth="1"/>
    <col min="15392" max="15393" width="1.7109375" customWidth="1"/>
    <col min="15394" max="15406" width="2" customWidth="1"/>
    <col min="15407" max="15410" width="1.7109375" customWidth="1"/>
    <col min="15411" max="15411" width="7.7109375" customWidth="1"/>
    <col min="15412" max="15413" width="8.85546875" customWidth="1"/>
    <col min="15414" max="15419" width="12.140625" customWidth="1"/>
    <col min="15617" max="15617" width="2.140625" customWidth="1"/>
    <col min="15618" max="15618" width="2" customWidth="1"/>
    <col min="15619" max="15623" width="1.7109375" customWidth="1"/>
    <col min="15624" max="15624" width="2.140625" customWidth="1"/>
    <col min="15625" max="15625" width="2.28515625" customWidth="1"/>
    <col min="15626" max="15643" width="1.7109375" customWidth="1"/>
    <col min="15644" max="15647" width="2.5703125" customWidth="1"/>
    <col min="15648" max="15649" width="1.7109375" customWidth="1"/>
    <col min="15650" max="15662" width="2" customWidth="1"/>
    <col min="15663" max="15666" width="1.7109375" customWidth="1"/>
    <col min="15667" max="15667" width="7.7109375" customWidth="1"/>
    <col min="15668" max="15669" width="8.85546875" customWidth="1"/>
    <col min="15670" max="15675" width="12.140625" customWidth="1"/>
    <col min="15873" max="15873" width="2.140625" customWidth="1"/>
    <col min="15874" max="15874" width="2" customWidth="1"/>
    <col min="15875" max="15879" width="1.7109375" customWidth="1"/>
    <col min="15880" max="15880" width="2.140625" customWidth="1"/>
    <col min="15881" max="15881" width="2.28515625" customWidth="1"/>
    <col min="15882" max="15899" width="1.7109375" customWidth="1"/>
    <col min="15900" max="15903" width="2.5703125" customWidth="1"/>
    <col min="15904" max="15905" width="1.7109375" customWidth="1"/>
    <col min="15906" max="15918" width="2" customWidth="1"/>
    <col min="15919" max="15922" width="1.7109375" customWidth="1"/>
    <col min="15923" max="15923" width="7.7109375" customWidth="1"/>
    <col min="15924" max="15925" width="8.85546875" customWidth="1"/>
    <col min="15926" max="15931" width="12.140625" customWidth="1"/>
    <col min="16129" max="16129" width="2.140625" customWidth="1"/>
    <col min="16130" max="16130" width="2" customWidth="1"/>
    <col min="16131" max="16135" width="1.7109375" customWidth="1"/>
    <col min="16136" max="16136" width="2.140625" customWidth="1"/>
    <col min="16137" max="16137" width="2.28515625" customWidth="1"/>
    <col min="16138" max="16155" width="1.7109375" customWidth="1"/>
    <col min="16156" max="16159" width="2.5703125" customWidth="1"/>
    <col min="16160" max="16161" width="1.7109375" customWidth="1"/>
    <col min="16162" max="16174" width="2" customWidth="1"/>
    <col min="16175" max="16178" width="1.7109375" customWidth="1"/>
    <col min="16179" max="16179" width="7.7109375" customWidth="1"/>
    <col min="16180" max="16181" width="8.85546875" customWidth="1"/>
    <col min="16182" max="16187" width="12.140625" customWidth="1"/>
  </cols>
  <sheetData>
    <row r="1" spans="1:46" ht="15.75" x14ac:dyDescent="0.25">
      <c r="A1" s="1" t="str">
        <f>Firma</f>
        <v>DUF BLAGO  d.o.o.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H1" s="2">
        <f>[1]UnosPod!AB8</f>
        <v>4</v>
      </c>
      <c r="AI1" s="2">
        <f>[1]UnosPod!AC8</f>
        <v>2</v>
      </c>
      <c r="AJ1" s="2">
        <f>[1]UnosPod!AD8</f>
        <v>0</v>
      </c>
      <c r="AK1" s="2">
        <f>[1]UnosPod!AE8</f>
        <v>0</v>
      </c>
      <c r="AL1" s="2">
        <f>[1]UnosPod!AF8</f>
        <v>0</v>
      </c>
      <c r="AM1" s="2">
        <f>[1]UnosPod!AG8</f>
        <v>5</v>
      </c>
      <c r="AN1" s="2">
        <f>[1]UnosPod!AH8</f>
        <v>2</v>
      </c>
      <c r="AO1" s="2">
        <f>[1]UnosPod!AI8</f>
        <v>5</v>
      </c>
      <c r="AP1" s="2">
        <f>[1]UnosPod!AJ8</f>
        <v>4</v>
      </c>
      <c r="AQ1" s="2">
        <f>[1]UnosPod!AK8</f>
        <v>0</v>
      </c>
      <c r="AR1" s="2">
        <f>[1]UnosPod!AL8</f>
        <v>0</v>
      </c>
      <c r="AS1" s="2">
        <f>[1]UnosPod!AM8</f>
        <v>0</v>
      </c>
      <c r="AT1" s="2">
        <f>[1]UnosPod!AN8</f>
        <v>7</v>
      </c>
    </row>
    <row r="2" spans="1:46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H2" s="4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5" t="str">
        <f>[1]UnosPod!F15</f>
        <v>Osnivanje i upravljanje IF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H3" s="6"/>
      <c r="AI3" s="7">
        <f>[1]UnosPod!AB9</f>
        <v>0</v>
      </c>
      <c r="AJ3" s="7">
        <f>[1]UnosPod!AC9</f>
        <v>0</v>
      </c>
      <c r="AK3" s="7">
        <f>[1]UnosPod!AD9</f>
        <v>0</v>
      </c>
      <c r="AL3" s="7">
        <f>[1]UnosPod!AE9</f>
        <v>0</v>
      </c>
      <c r="AM3" s="7">
        <f>[1]UnosPod!AF9</f>
        <v>0</v>
      </c>
      <c r="AN3" s="7">
        <f>[1]UnosPod!AG9</f>
        <v>0</v>
      </c>
      <c r="AO3" s="7">
        <f>[1]UnosPod!AH9</f>
        <v>0</v>
      </c>
      <c r="AP3" s="7">
        <f>[1]UnosPod!AI9</f>
        <v>0</v>
      </c>
      <c r="AQ3" s="7">
        <f>[1]UnosPod!AJ9</f>
        <v>0</v>
      </c>
      <c r="AR3" s="7">
        <f>[1]UnosPod!AK9</f>
        <v>0</v>
      </c>
      <c r="AS3" s="7">
        <f>[1]UnosPod!AL9</f>
        <v>0</v>
      </c>
      <c r="AT3" s="7">
        <f>[1]UnosPod!AM9</f>
        <v>0</v>
      </c>
    </row>
    <row r="4" spans="1:46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AH4" s="8" t="s">
        <v>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x14ac:dyDescent="0.25">
      <c r="A5" s="9" t="str">
        <f>Sjedište&amp;", "&amp;Adresa</f>
        <v>Sarajevo, Bulevar Meše Selimovića br.16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AH5" s="11"/>
      <c r="AI5" s="11"/>
      <c r="AJ5" s="12"/>
      <c r="AK5" s="12"/>
      <c r="AL5" s="12"/>
      <c r="AM5" s="11"/>
      <c r="AN5" s="11"/>
      <c r="AO5" s="11"/>
      <c r="AP5" s="7">
        <f>[1]UnosPod!AB10</f>
        <v>6</v>
      </c>
      <c r="AQ5" s="7">
        <f>[1]UnosPod!AC10</f>
        <v>7</v>
      </c>
      <c r="AR5" s="7">
        <f>[1]UnosPod!AD10</f>
        <v>1</v>
      </c>
      <c r="AS5" s="7">
        <f>[1]UnosPod!AE10</f>
        <v>2</v>
      </c>
      <c r="AT5" s="7">
        <f>[1]UnosPod!AF10</f>
        <v>0</v>
      </c>
    </row>
    <row r="6" spans="1:46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AH6" s="11"/>
      <c r="AI6" s="11"/>
      <c r="AJ6" s="12"/>
      <c r="AK6" s="12"/>
      <c r="AL6" s="12"/>
      <c r="AM6" s="8" t="s">
        <v>5</v>
      </c>
      <c r="AN6" s="8"/>
      <c r="AO6" s="8"/>
      <c r="AP6" s="8"/>
      <c r="AQ6" s="8"/>
      <c r="AR6" s="8"/>
      <c r="AS6" s="8"/>
      <c r="AT6" s="8"/>
    </row>
    <row r="7" spans="1:4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AH7" s="11"/>
      <c r="AI7" s="11"/>
      <c r="AJ7" s="12"/>
      <c r="AK7" s="12"/>
      <c r="AL7" s="12"/>
      <c r="AM7" s="13"/>
      <c r="AN7" s="13"/>
      <c r="AO7" s="13"/>
      <c r="AP7" s="13"/>
      <c r="AQ7" s="13"/>
      <c r="AR7" s="7">
        <f>[1]UnosPod!AB12</f>
        <v>1</v>
      </c>
      <c r="AS7" s="7">
        <f>[1]UnosPod!AC12</f>
        <v>0</v>
      </c>
      <c r="AT7" s="7">
        <f>[1]UnosPod!AD12</f>
        <v>8</v>
      </c>
    </row>
    <row r="8" spans="1:46" x14ac:dyDescent="0.25">
      <c r="A8" s="14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AH8" s="11"/>
      <c r="AI8" s="11"/>
      <c r="AJ8" s="12"/>
      <c r="AK8" s="12"/>
      <c r="AL8" s="12"/>
      <c r="AM8" s="15" t="s">
        <v>7</v>
      </c>
      <c r="AN8" s="15"/>
      <c r="AO8" s="15"/>
      <c r="AP8" s="15"/>
      <c r="AQ8" s="15"/>
      <c r="AR8" s="15"/>
      <c r="AS8" s="15"/>
      <c r="AT8" s="15"/>
    </row>
    <row r="9" spans="1:4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46" x14ac:dyDescent="0.25">
      <c r="A10" s="16" t="str">
        <f>[1]UnosPod!AB13</f>
        <v>Moja banka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46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46" x14ac:dyDescent="0.25">
      <c r="A12" s="18">
        <f>[1]UnosPod!AB14</f>
        <v>1</v>
      </c>
      <c r="B12" s="18">
        <f>[1]UnosPod!AC14</f>
        <v>3</v>
      </c>
      <c r="C12" s="18">
        <f>[1]UnosPod!AD14</f>
        <v>7</v>
      </c>
      <c r="D12" s="18">
        <f>[1]UnosPod!AE14</f>
        <v>4</v>
      </c>
      <c r="E12" s="18">
        <f>[1]UnosPod!AF14</f>
        <v>7</v>
      </c>
      <c r="F12" s="18">
        <f>[1]UnosPod!AG14</f>
        <v>0</v>
      </c>
      <c r="G12" s="18">
        <f>[1]UnosPod!AH14</f>
        <v>6</v>
      </c>
      <c r="H12" s="18">
        <f>[1]UnosPod!AI14</f>
        <v>0</v>
      </c>
      <c r="I12" s="18">
        <f>[1]UnosPod!AJ14</f>
        <v>0</v>
      </c>
      <c r="J12" s="18">
        <f>[1]UnosPod!AK14</f>
        <v>2</v>
      </c>
      <c r="K12" s="18">
        <f>[1]UnosPod!AL14</f>
        <v>5</v>
      </c>
      <c r="L12" s="18">
        <f>[1]UnosPod!AM14</f>
        <v>2</v>
      </c>
      <c r="M12" s="18">
        <f>[1]UnosPod!AN14</f>
        <v>0</v>
      </c>
      <c r="N12" s="18">
        <f>[1]UnosPod!AO14</f>
        <v>8</v>
      </c>
      <c r="O12" s="18">
        <f>[1]UnosPod!AP14</f>
        <v>6</v>
      </c>
      <c r="P12" s="18">
        <f>[1]UnosPod!AQ14</f>
        <v>5</v>
      </c>
    </row>
    <row r="14" spans="1:46" x14ac:dyDescent="0.25">
      <c r="A14" s="16" t="str">
        <f>[1]UnosPod!AB15</f>
        <v>Raiffeisen bank dd Sarajevo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46" x14ac:dyDescent="0.25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46" x14ac:dyDescent="0.25">
      <c r="A16" s="18">
        <f>[1]UnosPod!AB16</f>
        <v>1</v>
      </c>
      <c r="B16" s="18">
        <f>[1]UnosPod!AC16</f>
        <v>6</v>
      </c>
      <c r="C16" s="18">
        <f>[1]UnosPod!AD16</f>
        <v>1</v>
      </c>
      <c r="D16" s="18">
        <f>[1]UnosPod!AE16</f>
        <v>0</v>
      </c>
      <c r="E16" s="18">
        <f>[1]UnosPod!AF16</f>
        <v>0</v>
      </c>
      <c r="F16" s="18">
        <f>[1]UnosPod!AG16</f>
        <v>0</v>
      </c>
      <c r="G16" s="18">
        <f>[1]UnosPod!AH16</f>
        <v>0</v>
      </c>
      <c r="H16" s="18">
        <f>[1]UnosPod!AI16</f>
        <v>0</v>
      </c>
      <c r="I16" s="18">
        <f>[1]UnosPod!AJ16</f>
        <v>2</v>
      </c>
      <c r="J16" s="18">
        <f>[1]UnosPod!AK16</f>
        <v>2</v>
      </c>
      <c r="K16" s="18">
        <f>[1]UnosPod!AL16</f>
        <v>0</v>
      </c>
      <c r="L16" s="18">
        <f>[1]UnosPod!AM16</f>
        <v>7</v>
      </c>
      <c r="M16" s="18">
        <f>[1]UnosPod!AN16</f>
        <v>0</v>
      </c>
      <c r="N16" s="18">
        <f>[1]UnosPod!AO16</f>
        <v>0</v>
      </c>
      <c r="O16" s="18">
        <f>[1]UnosPod!AP16</f>
        <v>3</v>
      </c>
      <c r="P16" s="18">
        <f>[1]UnosPod!AQ16</f>
        <v>3</v>
      </c>
    </row>
    <row r="18" spans="1:46" x14ac:dyDescent="0.25">
      <c r="A18" s="16" t="e">
        <f>[1]UnosPod!AB17</f>
        <v>#REF!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46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46" x14ac:dyDescent="0.25">
      <c r="A20" s="18" t="e">
        <f>[1]UnosPod!AB18</f>
        <v>#REF!</v>
      </c>
      <c r="B20" s="18" t="e">
        <f>[1]UnosPod!AC18</f>
        <v>#REF!</v>
      </c>
      <c r="C20" s="18" t="e">
        <f>[1]UnosPod!AD18</f>
        <v>#REF!</v>
      </c>
      <c r="D20" s="18" t="e">
        <f>[1]UnosPod!AE18</f>
        <v>#REF!</v>
      </c>
      <c r="E20" s="18" t="e">
        <f>[1]UnosPod!AF18</f>
        <v>#REF!</v>
      </c>
      <c r="F20" s="18" t="e">
        <f>[1]UnosPod!AG18</f>
        <v>#REF!</v>
      </c>
      <c r="G20" s="18" t="e">
        <f>[1]UnosPod!AH18</f>
        <v>#REF!</v>
      </c>
      <c r="H20" s="18" t="e">
        <f>[1]UnosPod!AI18</f>
        <v>#REF!</v>
      </c>
      <c r="I20" s="18" t="e">
        <f>[1]UnosPod!AJ18</f>
        <v>#REF!</v>
      </c>
      <c r="J20" s="18" t="e">
        <f>[1]UnosPod!AK18</f>
        <v>#REF!</v>
      </c>
      <c r="K20" s="18" t="e">
        <f>[1]UnosPod!AL18</f>
        <v>#REF!</v>
      </c>
      <c r="L20" s="18" t="e">
        <f>[1]UnosPod!AM18</f>
        <v>#REF!</v>
      </c>
      <c r="M20" s="18" t="e">
        <f>[1]UnosPod!AN18</f>
        <v>#REF!</v>
      </c>
      <c r="N20" s="18" t="e">
        <f>[1]UnosPod!AO18</f>
        <v>#REF!</v>
      </c>
      <c r="O20" s="18" t="e">
        <f>[1]UnosPod!AP18</f>
        <v>#REF!</v>
      </c>
      <c r="P20" s="18" t="e">
        <f>[1]UnosPod!AQ18</f>
        <v>#REF!</v>
      </c>
    </row>
    <row r="29" spans="1:46" ht="20.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0" x14ac:dyDescent="0.4">
      <c r="A30" s="20" t="s">
        <v>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25.5" x14ac:dyDescent="0.35">
      <c r="A31" s="21" t="s">
        <v>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x14ac:dyDescent="0.3">
      <c r="A32" s="19" t="str">
        <f>"za period "&amp;[1]UnosPod!F6&amp;" - "&amp;[1]UnosPod!M6&amp;[1]UnosPod!P6&amp;"godine"</f>
        <v>za period 01.01. - 30.06.2012.godine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30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30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30.7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47" spans="1:46" x14ac:dyDescent="0.25">
      <c r="A47" s="25" t="s">
        <v>11</v>
      </c>
      <c r="B47" s="25"/>
      <c r="C47" s="25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7"/>
      <c r="AA47" s="11"/>
      <c r="AB47" s="27"/>
      <c r="AC47" s="27"/>
      <c r="AD47" s="27"/>
      <c r="AE47" s="27"/>
      <c r="AF47" s="11"/>
      <c r="AG47" s="11" t="s">
        <v>12</v>
      </c>
      <c r="AH47" s="11"/>
      <c r="AI47" s="11"/>
      <c r="AJ47" s="11"/>
      <c r="AK47" s="11"/>
      <c r="AL47" s="11"/>
    </row>
    <row r="48" spans="1:46" ht="17.25" customHeight="1" x14ac:dyDescent="0.25">
      <c r="A48" s="28" t="str">
        <f>[1]UnosPod!F3</f>
        <v>Hadžialić Azira</v>
      </c>
      <c r="B48" s="29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AB48" s="32" t="s">
        <v>13</v>
      </c>
      <c r="AC48" s="27"/>
      <c r="AD48" s="27"/>
      <c r="AE48" s="27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6" x14ac:dyDescent="0.25">
      <c r="A49" s="2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1"/>
      <c r="AA49" s="11"/>
      <c r="AB49" s="27"/>
      <c r="AC49" s="27"/>
      <c r="AD49" s="27"/>
      <c r="AE49" s="27"/>
      <c r="AF49" s="34">
        <f>[1]UnosPod!F14</f>
        <v>0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6" x14ac:dyDescent="0.25">
      <c r="A50" s="25" t="s">
        <v>14</v>
      </c>
      <c r="B50" s="25"/>
      <c r="C50" s="25"/>
      <c r="D50" s="26"/>
      <c r="E50" s="35"/>
      <c r="G50" s="36" t="str">
        <f>[1]UnosPod!AB3</f>
        <v>4263/5</v>
      </c>
      <c r="H50" s="37"/>
      <c r="I50" s="37"/>
      <c r="J50" s="37"/>
      <c r="K50" s="37"/>
      <c r="L50" s="38"/>
      <c r="M50" s="38"/>
      <c r="N50" s="38"/>
      <c r="AA50" s="11"/>
      <c r="AB50" s="11"/>
      <c r="AC50" s="11"/>
      <c r="AD50" s="11"/>
      <c r="AE50" s="11"/>
      <c r="AF50" s="27"/>
      <c r="AG50" s="27"/>
      <c r="AH50" s="27"/>
      <c r="AI50" s="27"/>
      <c r="AJ50" s="27"/>
      <c r="AK50" s="27"/>
      <c r="AL50" s="27"/>
      <c r="AM50" s="11"/>
      <c r="AN50" s="11"/>
      <c r="AO50" s="11"/>
      <c r="AP50" s="11"/>
      <c r="AQ50" s="11"/>
      <c r="AR50" s="11"/>
      <c r="AS50" s="11"/>
    </row>
    <row r="51" spans="1:46" x14ac:dyDescent="0.25">
      <c r="A51" s="25" t="s">
        <v>15</v>
      </c>
      <c r="B51" s="25"/>
      <c r="C51" s="25"/>
      <c r="D51" s="26"/>
      <c r="E51" s="39"/>
      <c r="G51" s="40" t="str">
        <f>[1]UnosPod!AM3</f>
        <v>033 770 960</v>
      </c>
      <c r="H51" s="41"/>
      <c r="I51" s="41"/>
      <c r="J51" s="41"/>
      <c r="K51" s="41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  <c r="W51" s="11"/>
      <c r="X51" s="11"/>
      <c r="Y51" s="11"/>
      <c r="Z51" s="11"/>
      <c r="AA51" s="11"/>
      <c r="AB51" s="11"/>
      <c r="AR51" s="11"/>
      <c r="AS51" s="11"/>
    </row>
    <row r="62" spans="1:46" ht="17.25" customHeight="1" x14ac:dyDescent="0.25">
      <c r="A62" s="42"/>
      <c r="B62" s="43" t="s">
        <v>16</v>
      </c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6"/>
    </row>
    <row r="63" spans="1:46" ht="14.25" customHeight="1" x14ac:dyDescent="0.25">
      <c r="A63" s="47" t="str">
        <f>"Svi finansijski izvještaji "&amp;[1]UnosPod!F8&amp;" "&amp;[1]UnosPod!F9&amp;" za obračunski period "&amp;[1]UnosPod!F6&amp;[1]UnosPod!M6&amp;[1]UnosPod!P6&amp;" godine u potpunosti su urađeni u skladu sa Zakona o računovodstvu i Međumarodnim standardima finansijskog izvještavanja (MSFI ) i tumačenjima Međunarodnog odbora za računovodstvene standarde (IASB)"</f>
        <v>Svi finansijski izvještaji DUF BLAGO  d.o.o. Sarajevo za obračunski period 01.01.30.06.2012. godine u potpunosti su urađeni u skladu sa Zakona o računovodstvu i Međumarodnim standardima finansijskog izvještavanja (MSFI ) i tumačenjima Međunarodnog odbora za računovodstvene standarde (IASB)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</row>
    <row r="64" spans="1:46" ht="14.25" customHeight="1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</row>
    <row r="65" spans="1:4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</row>
    <row r="66" spans="1:46" ht="14.25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</row>
    <row r="67" spans="1:46" x14ac:dyDescent="0.25">
      <c r="A67" s="47" t="s">
        <v>17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</row>
    <row r="68" spans="1:46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</row>
    <row r="69" spans="1:46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</row>
    <row r="70" spans="1:46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</row>
    <row r="71" spans="1:46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49"/>
    </row>
    <row r="72" spans="1:46" ht="18" x14ac:dyDescent="0.25">
      <c r="A72" s="42"/>
      <c r="B72" s="43" t="s">
        <v>18</v>
      </c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6"/>
    </row>
    <row r="73" spans="1:46" x14ac:dyDescent="0.25">
      <c r="A73" s="50"/>
      <c r="B73" s="50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9"/>
    </row>
    <row r="74" spans="1:46" x14ac:dyDescent="0.25">
      <c r="B74" s="51" t="s">
        <v>19</v>
      </c>
    </row>
    <row r="75" spans="1:46" x14ac:dyDescent="0.25">
      <c r="A75" s="47" t="s">
        <v>20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</row>
    <row r="76" spans="1:46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</row>
    <row r="77" spans="1:46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</row>
    <row r="78" spans="1:46" x14ac:dyDescent="0.25">
      <c r="A78" s="47" t="s">
        <v>21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</row>
    <row r="79" spans="1:46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</row>
    <row r="80" spans="1:46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</row>
    <row r="81" spans="1:46" x14ac:dyDescent="0.25">
      <c r="A81" s="47" t="s">
        <v>22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</row>
    <row r="82" spans="1:46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</row>
    <row r="83" spans="1:46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</row>
    <row r="84" spans="1:46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</row>
    <row r="85" spans="1:46" x14ac:dyDescent="0.25">
      <c r="A85" s="47" t="s">
        <v>23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</row>
    <row r="86" spans="1:46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</row>
    <row r="87" spans="1:46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</row>
    <row r="88" spans="1:46" x14ac:dyDescent="0.25">
      <c r="A88" s="48" t="s">
        <v>24</v>
      </c>
      <c r="B88" s="48"/>
      <c r="C88" s="48"/>
      <c r="E88" s="48"/>
      <c r="F88" s="48"/>
      <c r="G88" s="48"/>
      <c r="H88" s="48"/>
      <c r="I88" s="48"/>
      <c r="J88" s="48"/>
      <c r="K88" s="48"/>
      <c r="L88" s="48"/>
      <c r="M88" s="49"/>
      <c r="N88" s="49"/>
    </row>
    <row r="89" spans="1:46" x14ac:dyDescent="0.25">
      <c r="A89" s="48"/>
      <c r="B89" s="48"/>
      <c r="C89" s="48"/>
      <c r="E89" s="48"/>
      <c r="F89" s="48"/>
      <c r="G89" s="48"/>
      <c r="H89" s="48"/>
      <c r="I89" s="48"/>
      <c r="J89" s="48"/>
      <c r="K89" s="48"/>
      <c r="L89" s="48"/>
      <c r="M89" s="49"/>
      <c r="N89" s="49"/>
    </row>
    <row r="90" spans="1:46" x14ac:dyDescent="0.25">
      <c r="A90" s="49" t="str">
        <f>"Ostvareni ukupan prihod u obračunskom periodu "&amp;[1]UnosPod!P6&amp;"godini, iznosi: "&amp;ROUND([1]Zabljeske!R100,0)&amp;" KM, što je u odnosu na"</f>
        <v>Ostvareni ukupan prihod u obračunskom periodu 2012.godini, iznosi: 377776 KM, što je u odnosu na</v>
      </c>
      <c r="C90" s="48"/>
      <c r="E90" s="48"/>
      <c r="F90" s="48"/>
      <c r="G90" s="48"/>
      <c r="H90" s="48"/>
      <c r="I90" s="48"/>
      <c r="J90" s="48"/>
      <c r="K90" s="48"/>
      <c r="L90" s="48"/>
      <c r="M90" s="49"/>
      <c r="N90" s="49"/>
    </row>
    <row r="91" spans="1:46" x14ac:dyDescent="0.25">
      <c r="A91" s="49" t="str">
        <f>"isti period prethodne godine, "&amp;AP101&amp;" za "&amp;ROUND(R101+AD101,0)&amp;" KM ili "&amp;ROUND(AP102,1)&amp;" %."</f>
        <v>isti period prethodne godine, SMANJENJE za 90957 KM ili 19,4 %.</v>
      </c>
      <c r="C91" s="48"/>
      <c r="E91" s="48"/>
      <c r="F91" s="48"/>
      <c r="G91" s="48"/>
      <c r="H91" s="48"/>
      <c r="I91" s="48"/>
      <c r="J91" s="48"/>
      <c r="K91" s="48"/>
      <c r="L91" s="48"/>
      <c r="M91" s="49"/>
      <c r="N91" s="49"/>
    </row>
    <row r="92" spans="1:46" x14ac:dyDescent="0.25">
      <c r="A92" s="48"/>
      <c r="B92" s="48"/>
      <c r="C92" s="48"/>
      <c r="E92" s="48"/>
      <c r="F92" s="48"/>
      <c r="G92" s="48"/>
      <c r="H92" s="48"/>
      <c r="I92" s="48"/>
      <c r="J92" s="48"/>
      <c r="K92" s="48"/>
      <c r="L92" s="48"/>
      <c r="M92" s="49"/>
      <c r="N92" s="49"/>
    </row>
    <row r="93" spans="1:46" ht="15.75" x14ac:dyDescent="0.25">
      <c r="A93" s="48" t="s">
        <v>25</v>
      </c>
      <c r="B93" s="52"/>
      <c r="C93" s="53"/>
      <c r="E93" s="53"/>
      <c r="F93" s="53"/>
      <c r="G93" s="53"/>
      <c r="H93" s="53"/>
      <c r="I93" s="53"/>
      <c r="J93" s="53"/>
      <c r="K93" s="53"/>
      <c r="L93" s="53"/>
    </row>
    <row r="94" spans="1:46" ht="15.75" customHeight="1" x14ac:dyDescent="0.25">
      <c r="A94" s="54" t="s">
        <v>26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6" t="s">
        <v>27</v>
      </c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 t="s">
        <v>28</v>
      </c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7" t="s">
        <v>29</v>
      </c>
      <c r="AQ94" s="57"/>
      <c r="AR94" s="57"/>
      <c r="AS94" s="57"/>
      <c r="AT94" s="58"/>
    </row>
    <row r="95" spans="1:46" ht="15.75" customHeight="1" x14ac:dyDescent="0.25">
      <c r="A95" s="59" t="s">
        <v>30</v>
      </c>
      <c r="B95" s="60" t="s">
        <v>31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 t="s">
        <v>32</v>
      </c>
      <c r="S95" s="61"/>
      <c r="T95" s="61"/>
      <c r="U95" s="61"/>
      <c r="V95" s="61"/>
      <c r="W95" s="61"/>
      <c r="X95" s="61"/>
      <c r="Y95" s="61"/>
      <c r="Z95" s="62" t="s">
        <v>33</v>
      </c>
      <c r="AA95" s="62"/>
      <c r="AB95" s="62"/>
      <c r="AC95" s="62"/>
      <c r="AD95" s="61" t="s">
        <v>32</v>
      </c>
      <c r="AE95" s="61"/>
      <c r="AF95" s="61"/>
      <c r="AG95" s="61"/>
      <c r="AH95" s="61"/>
      <c r="AI95" s="61"/>
      <c r="AJ95" s="61"/>
      <c r="AK95" s="61"/>
      <c r="AL95" s="62" t="s">
        <v>33</v>
      </c>
      <c r="AM95" s="62"/>
      <c r="AN95" s="62"/>
      <c r="AO95" s="62"/>
      <c r="AP95" s="63" t="s">
        <v>34</v>
      </c>
      <c r="AQ95" s="63"/>
      <c r="AR95" s="63"/>
      <c r="AS95" s="63"/>
      <c r="AT95" s="64"/>
    </row>
    <row r="96" spans="1:46" ht="13.5" customHeight="1" x14ac:dyDescent="0.25">
      <c r="A96" s="65">
        <v>0</v>
      </c>
      <c r="B96" s="66">
        <v>1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7">
        <v>2</v>
      </c>
      <c r="S96" s="67"/>
      <c r="T96" s="67"/>
      <c r="U96" s="67"/>
      <c r="V96" s="67"/>
      <c r="W96" s="67"/>
      <c r="X96" s="67"/>
      <c r="Y96" s="67"/>
      <c r="Z96" s="67">
        <v>3</v>
      </c>
      <c r="AA96" s="67"/>
      <c r="AB96" s="67"/>
      <c r="AC96" s="67"/>
      <c r="AD96" s="67">
        <v>4</v>
      </c>
      <c r="AE96" s="67"/>
      <c r="AF96" s="67"/>
      <c r="AG96" s="67"/>
      <c r="AH96" s="67"/>
      <c r="AI96" s="67"/>
      <c r="AJ96" s="67"/>
      <c r="AK96" s="67"/>
      <c r="AL96" s="67">
        <v>5</v>
      </c>
      <c r="AM96" s="67"/>
      <c r="AN96" s="67"/>
      <c r="AO96" s="67"/>
      <c r="AP96" s="67">
        <v>6</v>
      </c>
      <c r="AQ96" s="67"/>
      <c r="AR96" s="67"/>
      <c r="AS96" s="67"/>
      <c r="AT96" s="68"/>
    </row>
    <row r="97" spans="1:46" ht="20.25" customHeight="1" x14ac:dyDescent="0.25">
      <c r="A97" s="69">
        <v>1</v>
      </c>
      <c r="B97" s="70" t="s">
        <v>35</v>
      </c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3"/>
      <c r="Q97" s="74"/>
      <c r="R97" s="75">
        <f>[1]B.Uspjeha!AG27</f>
        <v>325271</v>
      </c>
      <c r="S97" s="75"/>
      <c r="T97" s="75"/>
      <c r="U97" s="75"/>
      <c r="V97" s="75"/>
      <c r="W97" s="75"/>
      <c r="X97" s="75"/>
      <c r="Y97" s="75"/>
      <c r="Z97" s="76">
        <f>R97/R100*100</f>
        <v>86.101486146735155</v>
      </c>
      <c r="AA97" s="76"/>
      <c r="AB97" s="76"/>
      <c r="AC97" s="76"/>
      <c r="AD97" s="75">
        <f>[1]B.Uspjeha!AO27</f>
        <v>434219</v>
      </c>
      <c r="AE97" s="75"/>
      <c r="AF97" s="75"/>
      <c r="AG97" s="75"/>
      <c r="AH97" s="75"/>
      <c r="AI97" s="75"/>
      <c r="AJ97" s="75"/>
      <c r="AK97" s="75"/>
      <c r="AL97" s="77">
        <f>AD97/AD100*100</f>
        <v>92.636746292665549</v>
      </c>
      <c r="AM97" s="77"/>
      <c r="AN97" s="77"/>
      <c r="AO97" s="77"/>
      <c r="AP97" s="78">
        <f>IF(R97/(AD97+0.00001)*100&gt;10000,0,R97/(AD97+0.00001)*100)</f>
        <v>74.909435098995914</v>
      </c>
      <c r="AQ97" s="78"/>
      <c r="AR97" s="78"/>
      <c r="AS97" s="78"/>
      <c r="AT97" s="79"/>
    </row>
    <row r="98" spans="1:46" ht="20.25" customHeight="1" x14ac:dyDescent="0.25">
      <c r="A98" s="80">
        <v>2</v>
      </c>
      <c r="B98" s="81" t="s">
        <v>36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3"/>
      <c r="N98" s="83"/>
      <c r="O98" s="83"/>
      <c r="P98" s="84"/>
      <c r="Q98" s="85"/>
      <c r="R98" s="86">
        <f>[1]B.Uspjeha!AG54</f>
        <v>26858</v>
      </c>
      <c r="S98" s="86"/>
      <c r="T98" s="86"/>
      <c r="U98" s="86"/>
      <c r="V98" s="86"/>
      <c r="W98" s="86"/>
      <c r="X98" s="86"/>
      <c r="Y98" s="86"/>
      <c r="Z98" s="87">
        <f>R98/R100*100</f>
        <v>7.1094985871135536</v>
      </c>
      <c r="AA98" s="87"/>
      <c r="AB98" s="87"/>
      <c r="AC98" s="87"/>
      <c r="AD98" s="86">
        <f>[1]B.Uspjeha!AO54</f>
        <v>26500</v>
      </c>
      <c r="AE98" s="86"/>
      <c r="AF98" s="86"/>
      <c r="AG98" s="86"/>
      <c r="AH98" s="86"/>
      <c r="AI98" s="86"/>
      <c r="AJ98" s="86"/>
      <c r="AK98" s="86"/>
      <c r="AL98" s="88">
        <f>AD98/AD100*100</f>
        <v>5.6535383683248241</v>
      </c>
      <c r="AM98" s="88"/>
      <c r="AN98" s="88"/>
      <c r="AO98" s="88"/>
      <c r="AP98" s="89">
        <f>IF(R98/(AD98+0.00001)*100&gt;10000,0,R98/(AD98+0.00001)*100)</f>
        <v>101.35094335798078</v>
      </c>
      <c r="AQ98" s="89"/>
      <c r="AR98" s="89"/>
      <c r="AS98" s="89"/>
      <c r="AT98" s="90"/>
    </row>
    <row r="99" spans="1:46" ht="20.25" customHeight="1" x14ac:dyDescent="0.25">
      <c r="A99" s="91">
        <v>3</v>
      </c>
      <c r="B99" s="92" t="s">
        <v>37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4"/>
      <c r="N99" s="94"/>
      <c r="O99" s="94"/>
      <c r="P99" s="95"/>
      <c r="Q99" s="96"/>
      <c r="R99" s="97">
        <f>R100-R97-R98</f>
        <v>25647.289999999979</v>
      </c>
      <c r="S99" s="97"/>
      <c r="T99" s="97"/>
      <c r="U99" s="97"/>
      <c r="V99" s="97"/>
      <c r="W99" s="97"/>
      <c r="X99" s="97"/>
      <c r="Y99" s="97"/>
      <c r="Z99" s="98">
        <f>R99/R100*100</f>
        <v>6.7890152661512921</v>
      </c>
      <c r="AA99" s="98"/>
      <c r="AB99" s="98"/>
      <c r="AC99" s="98"/>
      <c r="AD99" s="97">
        <f>AD100-AD97-AD98</f>
        <v>8014</v>
      </c>
      <c r="AE99" s="97"/>
      <c r="AF99" s="97"/>
      <c r="AG99" s="97"/>
      <c r="AH99" s="97"/>
      <c r="AI99" s="97"/>
      <c r="AJ99" s="97"/>
      <c r="AK99" s="97"/>
      <c r="AL99" s="99">
        <f>AD99/AD100*100</f>
        <v>1.7097153390096282</v>
      </c>
      <c r="AM99" s="99"/>
      <c r="AN99" s="99"/>
      <c r="AO99" s="99"/>
      <c r="AP99" s="100">
        <f>IF(R99/(AD99+0.00001)*100&gt;10000,0,R99/(AD99+0.00001)*100)</f>
        <v>320.03107022706354</v>
      </c>
      <c r="AQ99" s="100"/>
      <c r="AR99" s="100"/>
      <c r="AS99" s="100"/>
      <c r="AT99" s="101"/>
    </row>
    <row r="100" spans="1:46" ht="20.25" customHeight="1" x14ac:dyDescent="0.25">
      <c r="A100" s="102">
        <v>4</v>
      </c>
      <c r="B100" s="103" t="s">
        <v>38</v>
      </c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5"/>
      <c r="N100" s="105"/>
      <c r="O100" s="105"/>
      <c r="P100" s="105"/>
      <c r="Q100" s="106"/>
      <c r="R100" s="107">
        <f>[1]UnosPod!F95</f>
        <v>377776.29</v>
      </c>
      <c r="S100" s="107"/>
      <c r="T100" s="107"/>
      <c r="U100" s="107"/>
      <c r="V100" s="107"/>
      <c r="W100" s="107"/>
      <c r="X100" s="107"/>
      <c r="Y100" s="107"/>
      <c r="Z100" s="108">
        <f>R100/R100*100</f>
        <v>100</v>
      </c>
      <c r="AA100" s="108"/>
      <c r="AB100" s="108"/>
      <c r="AC100" s="108"/>
      <c r="AD100" s="107">
        <f>[1]B.Uspjeha!AO27+[1]B.Uspjeha!AO54+[1]B.Uspjeha!AO75+[1]B.Uspjeha!AO104+[1]B.Uspjeha!AO129+[1]B.Uspjeha!AO139+[1]B.Uspjeha!AO156</f>
        <v>468733</v>
      </c>
      <c r="AE100" s="107"/>
      <c r="AF100" s="107"/>
      <c r="AG100" s="107"/>
      <c r="AH100" s="107"/>
      <c r="AI100" s="107"/>
      <c r="AJ100" s="107"/>
      <c r="AK100" s="107"/>
      <c r="AL100" s="108">
        <f>AD100/AD100*100</f>
        <v>100</v>
      </c>
      <c r="AM100" s="108"/>
      <c r="AN100" s="108"/>
      <c r="AO100" s="108"/>
      <c r="AP100" s="109">
        <f>IF(R100/(AD100+0.00001)*100&gt;10000,0,R100/(AD100+0.00001)*100)</f>
        <v>80.595198117465685</v>
      </c>
      <c r="AQ100" s="109"/>
      <c r="AR100" s="109"/>
      <c r="AS100" s="109"/>
      <c r="AT100" s="110"/>
    </row>
    <row r="101" spans="1:46" ht="15.75" x14ac:dyDescent="0.25">
      <c r="A101" s="52"/>
      <c r="B101" s="52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R101" s="111">
        <f>IF(R100-AD100&lt;0,0,R100-AD100)</f>
        <v>0</v>
      </c>
      <c r="S101" s="111"/>
      <c r="T101" s="111"/>
      <c r="U101" s="111"/>
      <c r="V101" s="111"/>
      <c r="W101" s="111"/>
      <c r="X101" s="111"/>
      <c r="Y101" s="111"/>
      <c r="Z101" s="112"/>
      <c r="AA101" s="112"/>
      <c r="AB101" s="112"/>
      <c r="AC101" s="112"/>
      <c r="AD101" s="111">
        <f>IF(AD100-R100&lt;0,0,AD100-R100)</f>
        <v>90956.710000000021</v>
      </c>
      <c r="AE101" s="111"/>
      <c r="AF101" s="111"/>
      <c r="AG101" s="111"/>
      <c r="AH101" s="111"/>
      <c r="AI101" s="111"/>
      <c r="AJ101" s="111"/>
      <c r="AK101" s="111"/>
      <c r="AP101" s="113" t="str">
        <f>IF(AP100&gt;100,"POVEĆANJE","SMANJENJE")</f>
        <v>SMANJENJE</v>
      </c>
      <c r="AQ101" s="114"/>
      <c r="AR101" s="115"/>
      <c r="AS101" s="115"/>
      <c r="AT101" s="115"/>
    </row>
    <row r="102" spans="1:46" ht="15.75" x14ac:dyDescent="0.25">
      <c r="A102" s="52"/>
      <c r="B102" s="52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AP102" s="116">
        <f>ROUND(IF(AP100&gt;100,AP100-100,100-AP100),1)</f>
        <v>19.399999999999999</v>
      </c>
      <c r="AQ102" s="116"/>
      <c r="AR102" s="116"/>
      <c r="AS102" s="116"/>
      <c r="AT102" s="116"/>
    </row>
    <row r="103" spans="1:46" ht="15.75" x14ac:dyDescent="0.25">
      <c r="A103" s="48" t="str">
        <f>"Uporedni pregled ukupnog prihoda "&amp;[1]UnosPod!P6&amp;" i "&amp;[1]UnosPod!U1-1&amp;".g."</f>
        <v>Uporedni pregled ukupnog prihoda 2012. i 2011.g.</v>
      </c>
      <c r="B103" s="52"/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Y103" s="48"/>
      <c r="Z103" s="48"/>
      <c r="AB103" s="49" t="str">
        <f>"Pregled strukture ukupnih prihoda  "&amp;[1]UnosPod!P6&amp;"godine"</f>
        <v>Pregled strukture ukupnih prihoda  2012.godine</v>
      </c>
    </row>
    <row r="104" spans="1:46" ht="15.75" x14ac:dyDescent="0.25">
      <c r="A104" s="52"/>
      <c r="B104" s="52"/>
      <c r="C104" s="52"/>
      <c r="D104" s="53"/>
      <c r="E104" s="53"/>
      <c r="F104" s="53"/>
      <c r="G104" s="53"/>
      <c r="H104" s="53"/>
      <c r="I104" s="53"/>
      <c r="J104" s="53"/>
      <c r="K104" s="53"/>
      <c r="L104" s="53"/>
    </row>
    <row r="105" spans="1:46" ht="15.75" x14ac:dyDescent="0.25">
      <c r="A105" s="52"/>
      <c r="B105" s="52"/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AJ105" t="str">
        <f>[1]UnosPod!P6</f>
        <v>2012.</v>
      </c>
      <c r="AK105">
        <f>[1]UnosPod!U1-1</f>
        <v>2011</v>
      </c>
    </row>
    <row r="106" spans="1:46" ht="15.75" x14ac:dyDescent="0.25">
      <c r="A106" s="52"/>
      <c r="B106" s="52"/>
      <c r="C106" s="52"/>
      <c r="D106" s="53"/>
      <c r="E106" s="53"/>
      <c r="F106" s="53"/>
      <c r="G106" s="53"/>
      <c r="H106" s="53"/>
      <c r="I106" s="53"/>
      <c r="J106" s="53"/>
      <c r="K106" s="53"/>
      <c r="L106" s="53"/>
      <c r="AI106" t="s">
        <v>39</v>
      </c>
      <c r="AJ106" s="117">
        <f>R100</f>
        <v>377776.29</v>
      </c>
      <c r="AK106" s="117">
        <f>AD100</f>
        <v>468733</v>
      </c>
    </row>
    <row r="107" spans="1:46" ht="15.75" x14ac:dyDescent="0.25">
      <c r="A107" s="52"/>
      <c r="B107" s="52"/>
      <c r="C107" s="52"/>
      <c r="D107" s="53"/>
      <c r="E107" s="53"/>
      <c r="F107" s="53"/>
      <c r="G107" s="53"/>
      <c r="H107" s="53"/>
      <c r="I107" s="53"/>
      <c r="J107" s="53"/>
      <c r="K107" s="53"/>
      <c r="L107" s="53"/>
    </row>
    <row r="108" spans="1:46" ht="15.75" x14ac:dyDescent="0.25">
      <c r="A108" s="52"/>
      <c r="B108" s="52"/>
      <c r="C108" s="52"/>
      <c r="D108" s="53"/>
      <c r="E108" s="53"/>
      <c r="F108" s="53"/>
      <c r="G108" s="53"/>
      <c r="H108" s="53"/>
      <c r="I108" s="53"/>
      <c r="J108" s="53"/>
      <c r="K108" s="53"/>
      <c r="L108" s="53"/>
    </row>
    <row r="109" spans="1:46" ht="15.75" x14ac:dyDescent="0.25">
      <c r="A109" s="52"/>
      <c r="B109" s="52"/>
      <c r="C109" s="52"/>
      <c r="D109" s="53"/>
      <c r="E109" s="53"/>
      <c r="F109" s="53"/>
      <c r="G109" s="53"/>
      <c r="H109" s="53"/>
      <c r="I109" s="53"/>
      <c r="J109" s="53"/>
      <c r="K109" s="53"/>
      <c r="L109" s="53"/>
      <c r="AI109" s="118" t="s">
        <v>40</v>
      </c>
      <c r="AJ109" s="117">
        <f>R97</f>
        <v>325271</v>
      </c>
    </row>
    <row r="110" spans="1:46" ht="15.75" x14ac:dyDescent="0.25">
      <c r="A110" s="52"/>
      <c r="B110" s="52"/>
      <c r="C110" s="52"/>
      <c r="D110" s="53"/>
      <c r="E110" s="53"/>
      <c r="F110" s="53"/>
      <c r="G110" s="53"/>
      <c r="H110" s="53"/>
      <c r="I110" s="53"/>
      <c r="J110" s="53"/>
      <c r="K110" s="53"/>
      <c r="L110" s="53"/>
      <c r="AI110" s="118" t="s">
        <v>41</v>
      </c>
      <c r="AJ110" s="117">
        <f>R98</f>
        <v>26858</v>
      </c>
    </row>
    <row r="111" spans="1:46" ht="15.75" x14ac:dyDescent="0.25">
      <c r="A111" s="52"/>
      <c r="B111" s="52"/>
      <c r="C111" s="52"/>
      <c r="D111" s="53"/>
      <c r="E111" s="53"/>
      <c r="F111" s="53"/>
      <c r="G111" s="53"/>
      <c r="H111" s="53"/>
      <c r="I111" s="53"/>
      <c r="J111" s="53"/>
      <c r="K111" s="53"/>
      <c r="L111" s="53"/>
      <c r="AI111" s="118" t="s">
        <v>42</v>
      </c>
      <c r="AJ111" s="117">
        <f>R99</f>
        <v>25647.289999999979</v>
      </c>
    </row>
    <row r="112" spans="1:46" ht="15.75" x14ac:dyDescent="0.25">
      <c r="A112" s="52"/>
      <c r="B112" s="52"/>
      <c r="C112" s="52"/>
      <c r="D112" s="53"/>
      <c r="E112" s="53"/>
      <c r="F112" s="53"/>
      <c r="G112" s="53"/>
      <c r="H112" s="53"/>
      <c r="I112" s="53"/>
      <c r="J112" s="53"/>
      <c r="K112" s="53"/>
      <c r="L112" s="53"/>
    </row>
    <row r="113" spans="1:46" ht="15.75" x14ac:dyDescent="0.25">
      <c r="A113" s="52"/>
      <c r="B113" s="52"/>
      <c r="C113" s="52"/>
      <c r="D113" s="53"/>
      <c r="E113" s="53"/>
      <c r="F113" s="53"/>
      <c r="G113" s="53"/>
      <c r="H113" s="53"/>
      <c r="I113" s="53"/>
      <c r="J113" s="53"/>
      <c r="K113" s="53"/>
      <c r="L113" s="53"/>
    </row>
    <row r="114" spans="1:46" ht="15.75" x14ac:dyDescent="0.25">
      <c r="A114" s="52"/>
      <c r="B114" s="52"/>
      <c r="C114" s="52"/>
      <c r="D114" s="53"/>
      <c r="E114" s="53"/>
      <c r="F114" s="53"/>
      <c r="G114" s="53"/>
      <c r="H114" s="53"/>
      <c r="I114" s="53"/>
      <c r="J114" s="53"/>
      <c r="K114" s="53"/>
      <c r="L114" s="53"/>
    </row>
    <row r="115" spans="1:46" ht="15.75" x14ac:dyDescent="0.25">
      <c r="A115" s="52"/>
      <c r="B115" s="52"/>
      <c r="C115" s="52"/>
      <c r="D115" s="53"/>
      <c r="E115" s="53"/>
      <c r="F115" s="53"/>
      <c r="G115" s="53"/>
      <c r="H115" s="53"/>
      <c r="I115" s="53"/>
      <c r="J115" s="53"/>
      <c r="K115" s="53"/>
      <c r="L115" s="53"/>
    </row>
    <row r="116" spans="1:46" ht="15.75" x14ac:dyDescent="0.25">
      <c r="A116" s="52"/>
      <c r="B116" s="52"/>
      <c r="C116" s="52"/>
      <c r="D116" s="53"/>
      <c r="E116" s="53"/>
      <c r="F116" s="53"/>
      <c r="G116" s="53"/>
      <c r="H116" s="53"/>
      <c r="I116" s="53"/>
      <c r="J116" s="53"/>
      <c r="K116" s="53"/>
      <c r="L116" s="53"/>
    </row>
    <row r="117" spans="1:46" ht="15.75" x14ac:dyDescent="0.25">
      <c r="A117" s="52"/>
      <c r="B117" s="52"/>
      <c r="C117" s="52"/>
      <c r="D117" s="53"/>
      <c r="E117" s="53"/>
      <c r="F117" s="53"/>
      <c r="G117" s="53"/>
      <c r="H117" s="53"/>
      <c r="I117" s="53"/>
      <c r="J117" s="53"/>
      <c r="K117" s="53"/>
      <c r="L117" s="53"/>
    </row>
    <row r="118" spans="1:46" ht="15.75" x14ac:dyDescent="0.25">
      <c r="A118" s="52"/>
      <c r="B118" s="52"/>
      <c r="C118" s="52"/>
      <c r="D118" s="53"/>
      <c r="E118" s="53"/>
      <c r="F118" s="53"/>
      <c r="G118" s="53"/>
      <c r="H118" s="53"/>
      <c r="I118" s="53"/>
      <c r="J118" s="53"/>
      <c r="K118" s="53"/>
      <c r="L118" s="53"/>
    </row>
    <row r="119" spans="1:46" ht="15.75" x14ac:dyDescent="0.25">
      <c r="A119" s="52"/>
      <c r="B119" s="52"/>
      <c r="C119" s="52"/>
      <c r="D119" s="53"/>
      <c r="E119" s="53"/>
      <c r="F119" s="53"/>
      <c r="G119" s="53"/>
      <c r="H119" s="53"/>
      <c r="I119" s="53"/>
      <c r="J119" s="53"/>
      <c r="K119" s="53"/>
      <c r="L119" s="53"/>
    </row>
    <row r="120" spans="1:46" x14ac:dyDescent="0.25">
      <c r="A120" s="50"/>
      <c r="B120" s="50" t="s">
        <v>43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9"/>
      <c r="N120" s="49"/>
      <c r="O120" s="49"/>
      <c r="P120" s="49"/>
    </row>
    <row r="121" spans="1:46" x14ac:dyDescent="0.25">
      <c r="A121" s="47" t="s">
        <v>44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</row>
    <row r="122" spans="1:46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</row>
    <row r="123" spans="1:46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</row>
    <row r="124" spans="1:46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</row>
    <row r="125" spans="1:46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</row>
    <row r="126" spans="1:46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</row>
    <row r="127" spans="1:46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</row>
    <row r="128" spans="1:46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</row>
    <row r="129" spans="1:46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</row>
    <row r="130" spans="1:46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</row>
    <row r="131" spans="1:46" ht="15.75" x14ac:dyDescent="0.25">
      <c r="A131" s="52"/>
      <c r="B131" s="52"/>
      <c r="C131" s="52"/>
      <c r="D131" s="53"/>
      <c r="E131" s="53"/>
      <c r="F131" s="53"/>
      <c r="G131" s="53"/>
      <c r="H131" s="53"/>
      <c r="I131" s="53"/>
      <c r="J131" s="53"/>
      <c r="K131" s="53"/>
      <c r="L131" s="53"/>
    </row>
    <row r="132" spans="1:46" x14ac:dyDescent="0.25">
      <c r="A132" s="48"/>
      <c r="C132" s="48"/>
      <c r="D132" s="119"/>
      <c r="E132" s="119"/>
      <c r="F132" s="119"/>
      <c r="G132" s="119"/>
      <c r="H132" s="119"/>
      <c r="I132" s="119"/>
      <c r="J132" s="119"/>
      <c r="K132" s="119"/>
      <c r="L132" s="119"/>
      <c r="M132" s="49"/>
      <c r="N132" s="49"/>
      <c r="O132" s="49"/>
      <c r="P132" s="49"/>
    </row>
    <row r="133" spans="1:46" x14ac:dyDescent="0.25">
      <c r="A133" s="49" t="str">
        <f>"Ostvareni ukupni rashodi u obračunskom periodu "&amp;[1]UnosPod!P6&amp;"godini, iznose: "&amp;ROUND([1]Zabljeske!R143,0)&amp;" KM, što je u odnosu na"</f>
        <v>Ostvareni ukupni rashodi u obračunskom periodu 2012.godini, iznose: 267689 KM, što je u odnosu na</v>
      </c>
      <c r="C133" s="48"/>
      <c r="D133" s="119"/>
      <c r="E133" s="119"/>
      <c r="F133" s="119"/>
      <c r="G133" s="119"/>
      <c r="H133" s="119"/>
      <c r="I133" s="119"/>
      <c r="J133" s="119"/>
      <c r="K133" s="119"/>
      <c r="L133" s="119"/>
      <c r="M133" s="49"/>
      <c r="N133" s="49"/>
      <c r="O133" s="49"/>
      <c r="P133" s="49"/>
    </row>
    <row r="134" spans="1:46" x14ac:dyDescent="0.25">
      <c r="A134" s="49" t="str">
        <f>"isti period prethodne godine, "&amp;AP144&amp;" za "&amp;ROUND(R144+AD144,0)&amp;" KM ili "&amp;ROUND(AP145,1)&amp;" %."</f>
        <v>isti period prethodne godine, SMANJENJE za 2902 KM ili 1,1 %.</v>
      </c>
      <c r="C134" s="48"/>
      <c r="D134" s="119"/>
      <c r="E134" s="119"/>
      <c r="F134" s="119"/>
      <c r="G134" s="119"/>
      <c r="H134" s="119"/>
      <c r="I134" s="119"/>
      <c r="J134" s="119"/>
      <c r="K134" s="119"/>
      <c r="L134" s="119"/>
      <c r="M134" s="49"/>
      <c r="N134" s="49"/>
      <c r="O134" s="49"/>
      <c r="P134" s="49"/>
    </row>
    <row r="135" spans="1:46" x14ac:dyDescent="0.25">
      <c r="A135" s="48"/>
      <c r="C135" s="48"/>
      <c r="D135" s="119"/>
      <c r="E135" s="119"/>
      <c r="F135" s="119"/>
      <c r="G135" s="119"/>
      <c r="H135" s="119"/>
      <c r="I135" s="119"/>
      <c r="J135" s="119"/>
      <c r="K135" s="119"/>
      <c r="L135" s="119"/>
      <c r="M135" s="49"/>
      <c r="N135" s="49"/>
      <c r="O135" s="49"/>
      <c r="P135" s="49"/>
    </row>
    <row r="136" spans="1:46" ht="15.75" x14ac:dyDescent="0.25">
      <c r="A136" s="48" t="s">
        <v>45</v>
      </c>
      <c r="C136" s="52"/>
      <c r="D136" s="53"/>
      <c r="E136" s="53"/>
      <c r="F136" s="53"/>
      <c r="G136" s="53"/>
      <c r="H136" s="53"/>
      <c r="I136" s="53"/>
      <c r="J136" s="53"/>
      <c r="K136" s="53"/>
      <c r="L136" s="53"/>
    </row>
    <row r="137" spans="1:46" ht="18.75" customHeight="1" x14ac:dyDescent="0.25">
      <c r="A137" s="54" t="s">
        <v>26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120" t="s">
        <v>27</v>
      </c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2"/>
      <c r="AD137" s="56" t="s">
        <v>28</v>
      </c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7" t="s">
        <v>29</v>
      </c>
      <c r="AQ137" s="57"/>
      <c r="AR137" s="57"/>
      <c r="AS137" s="57"/>
      <c r="AT137" s="58"/>
    </row>
    <row r="138" spans="1:46" ht="18.75" customHeight="1" x14ac:dyDescent="0.25">
      <c r="A138" s="59" t="s">
        <v>30</v>
      </c>
      <c r="B138" s="60" t="s">
        <v>31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1" t="s">
        <v>32</v>
      </c>
      <c r="S138" s="61"/>
      <c r="T138" s="61"/>
      <c r="U138" s="61"/>
      <c r="V138" s="61"/>
      <c r="W138" s="61"/>
      <c r="X138" s="61"/>
      <c r="Y138" s="61"/>
      <c r="Z138" s="62" t="s">
        <v>33</v>
      </c>
      <c r="AA138" s="62"/>
      <c r="AB138" s="62"/>
      <c r="AC138" s="62"/>
      <c r="AD138" s="61" t="s">
        <v>32</v>
      </c>
      <c r="AE138" s="61"/>
      <c r="AF138" s="61"/>
      <c r="AG138" s="61"/>
      <c r="AH138" s="61"/>
      <c r="AI138" s="61"/>
      <c r="AJ138" s="61"/>
      <c r="AK138" s="61"/>
      <c r="AL138" s="62" t="s">
        <v>33</v>
      </c>
      <c r="AM138" s="62"/>
      <c r="AN138" s="62"/>
      <c r="AO138" s="62"/>
      <c r="AP138" s="63" t="s">
        <v>34</v>
      </c>
      <c r="AQ138" s="63"/>
      <c r="AR138" s="63"/>
      <c r="AS138" s="63"/>
      <c r="AT138" s="64"/>
    </row>
    <row r="139" spans="1:46" ht="15" customHeight="1" x14ac:dyDescent="0.25">
      <c r="A139" s="65">
        <v>0</v>
      </c>
      <c r="B139" s="66">
        <v>1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7">
        <v>2</v>
      </c>
      <c r="S139" s="67"/>
      <c r="T139" s="67"/>
      <c r="U139" s="67"/>
      <c r="V139" s="67"/>
      <c r="W139" s="67"/>
      <c r="X139" s="67"/>
      <c r="Y139" s="67"/>
      <c r="Z139" s="67">
        <v>3</v>
      </c>
      <c r="AA139" s="67"/>
      <c r="AB139" s="67"/>
      <c r="AC139" s="67"/>
      <c r="AD139" s="67">
        <v>4</v>
      </c>
      <c r="AE139" s="67"/>
      <c r="AF139" s="67"/>
      <c r="AG139" s="67"/>
      <c r="AH139" s="67"/>
      <c r="AI139" s="67"/>
      <c r="AJ139" s="67"/>
      <c r="AK139" s="67"/>
      <c r="AL139" s="67">
        <v>5</v>
      </c>
      <c r="AM139" s="67"/>
      <c r="AN139" s="67"/>
      <c r="AO139" s="67"/>
      <c r="AP139" s="67">
        <v>6</v>
      </c>
      <c r="AQ139" s="67"/>
      <c r="AR139" s="67"/>
      <c r="AS139" s="67"/>
      <c r="AT139" s="68"/>
    </row>
    <row r="140" spans="1:46" ht="21" customHeight="1" x14ac:dyDescent="0.25">
      <c r="A140" s="69">
        <v>1</v>
      </c>
      <c r="B140" s="70" t="s">
        <v>46</v>
      </c>
      <c r="C140" s="71"/>
      <c r="D140" s="71"/>
      <c r="E140" s="71"/>
      <c r="F140" s="71"/>
      <c r="G140" s="71"/>
      <c r="H140" s="71"/>
      <c r="I140" s="71"/>
      <c r="J140" s="71"/>
      <c r="K140" s="72"/>
      <c r="L140" s="72"/>
      <c r="M140" s="72"/>
      <c r="N140" s="72"/>
      <c r="O140" s="72"/>
      <c r="P140" s="73"/>
      <c r="Q140" s="74"/>
      <c r="R140" s="75">
        <f>[1]B.Uspjeha!AG38</f>
        <v>265587</v>
      </c>
      <c r="S140" s="75"/>
      <c r="T140" s="75"/>
      <c r="U140" s="75"/>
      <c r="V140" s="75"/>
      <c r="W140" s="75"/>
      <c r="X140" s="75"/>
      <c r="Y140" s="75"/>
      <c r="Z140" s="76">
        <f>R140/R143*100</f>
        <v>99.21476041226947</v>
      </c>
      <c r="AA140" s="76"/>
      <c r="AB140" s="76"/>
      <c r="AC140" s="76"/>
      <c r="AD140" s="75">
        <f>[1]B.Uspjeha!AO38</f>
        <v>267970</v>
      </c>
      <c r="AE140" s="75"/>
      <c r="AF140" s="75"/>
      <c r="AG140" s="75"/>
      <c r="AH140" s="75"/>
      <c r="AI140" s="75"/>
      <c r="AJ140" s="75"/>
      <c r="AK140" s="75"/>
      <c r="AL140" s="77">
        <f>AD140/AD143*100</f>
        <v>99.031379461992458</v>
      </c>
      <c r="AM140" s="77"/>
      <c r="AN140" s="77"/>
      <c r="AO140" s="77"/>
      <c r="AP140" s="78">
        <f>IF(R140/(AD140+0.00001)*100&gt;10000,0,R140/(AD140+0.00001)*100)</f>
        <v>99.110721345706196</v>
      </c>
      <c r="AQ140" s="78"/>
      <c r="AR140" s="78"/>
      <c r="AS140" s="78"/>
      <c r="AT140" s="79"/>
    </row>
    <row r="141" spans="1:46" ht="21" customHeight="1" x14ac:dyDescent="0.25">
      <c r="A141" s="80">
        <v>2</v>
      </c>
      <c r="B141" s="81" t="s">
        <v>47</v>
      </c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3"/>
      <c r="N141" s="83"/>
      <c r="O141" s="83"/>
      <c r="P141" s="84"/>
      <c r="Q141" s="85"/>
      <c r="R141" s="86">
        <f>[1]B.Uspjeha!AG64</f>
        <v>5</v>
      </c>
      <c r="S141" s="86"/>
      <c r="T141" s="86"/>
      <c r="U141" s="86"/>
      <c r="V141" s="86"/>
      <c r="W141" s="86"/>
      <c r="X141" s="86"/>
      <c r="Y141" s="86"/>
      <c r="Z141" s="87">
        <f>R141/R143*100</f>
        <v>1.8678391715759705E-3</v>
      </c>
      <c r="AA141" s="87"/>
      <c r="AB141" s="87"/>
      <c r="AC141" s="87"/>
      <c r="AD141" s="86">
        <f>[1]B.Uspjeha!AO64</f>
        <v>595</v>
      </c>
      <c r="AE141" s="86"/>
      <c r="AF141" s="86"/>
      <c r="AG141" s="86"/>
      <c r="AH141" s="86"/>
      <c r="AI141" s="86"/>
      <c r="AJ141" s="86"/>
      <c r="AK141" s="86"/>
      <c r="AL141" s="88">
        <f>AD141/AD143*100</f>
        <v>0.2198890576552805</v>
      </c>
      <c r="AM141" s="88"/>
      <c r="AN141" s="88"/>
      <c r="AO141" s="88"/>
      <c r="AP141" s="89">
        <f>IF(R141/(AD141+0.00001)*100&gt;10000,0,R141/(AD141+0.00001)*100)</f>
        <v>0.84033612033048533</v>
      </c>
      <c r="AQ141" s="89"/>
      <c r="AR141" s="89"/>
      <c r="AS141" s="89"/>
      <c r="AT141" s="90"/>
    </row>
    <row r="142" spans="1:46" ht="21" customHeight="1" x14ac:dyDescent="0.25">
      <c r="A142" s="91">
        <v>3</v>
      </c>
      <c r="B142" s="92" t="s">
        <v>48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4"/>
      <c r="N142" s="94"/>
      <c r="O142" s="94"/>
      <c r="P142" s="95"/>
      <c r="Q142" s="96"/>
      <c r="R142" s="97">
        <f>R143-R140-R141</f>
        <v>2097</v>
      </c>
      <c r="S142" s="97"/>
      <c r="T142" s="97"/>
      <c r="U142" s="97"/>
      <c r="V142" s="97"/>
      <c r="W142" s="97"/>
      <c r="X142" s="97"/>
      <c r="Y142" s="97"/>
      <c r="Z142" s="98">
        <f>R142/R143*100</f>
        <v>0.78337174855896208</v>
      </c>
      <c r="AA142" s="98"/>
      <c r="AB142" s="98"/>
      <c r="AC142" s="98"/>
      <c r="AD142" s="97">
        <f>AD143-AD140-AD141</f>
        <v>2026</v>
      </c>
      <c r="AE142" s="97"/>
      <c r="AF142" s="97"/>
      <c r="AG142" s="97"/>
      <c r="AH142" s="97"/>
      <c r="AI142" s="97"/>
      <c r="AJ142" s="97"/>
      <c r="AK142" s="97"/>
      <c r="AL142" s="99">
        <f>AD142/AD143*100</f>
        <v>0.748731480352266</v>
      </c>
      <c r="AM142" s="99"/>
      <c r="AN142" s="99"/>
      <c r="AO142" s="99"/>
      <c r="AP142" s="100">
        <f>IF(R142/(AD142+0.00001)*100&gt;10000,0,R142/(AD142+0.00001)*100)</f>
        <v>103.50444173985962</v>
      </c>
      <c r="AQ142" s="100"/>
      <c r="AR142" s="100"/>
      <c r="AS142" s="100"/>
      <c r="AT142" s="101"/>
    </row>
    <row r="143" spans="1:46" ht="21" customHeight="1" x14ac:dyDescent="0.25">
      <c r="A143" s="102">
        <v>4</v>
      </c>
      <c r="B143" s="103" t="s">
        <v>49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5"/>
      <c r="N143" s="105"/>
      <c r="O143" s="105"/>
      <c r="P143" s="105"/>
      <c r="Q143" s="106"/>
      <c r="R143" s="107">
        <f>[1]UnosPod!F203</f>
        <v>267689</v>
      </c>
      <c r="S143" s="107"/>
      <c r="T143" s="107"/>
      <c r="U143" s="107"/>
      <c r="V143" s="107"/>
      <c r="W143" s="107"/>
      <c r="X143" s="107"/>
      <c r="Y143" s="107"/>
      <c r="Z143" s="108">
        <f>R143/R143*100</f>
        <v>100</v>
      </c>
      <c r="AA143" s="108"/>
      <c r="AB143" s="108"/>
      <c r="AC143" s="108"/>
      <c r="AD143" s="107">
        <f>[1]B.Uspjeha!AO38+[1]B.Uspjeha!AO64+[1]B.Uspjeha!AO87+[1]B.Uspjeha!AO119+[1]B.Uspjeha!AO133+[1]B.Uspjeha!AO141+[1]B.Uspjeha!AO158</f>
        <v>270591</v>
      </c>
      <c r="AE143" s="107"/>
      <c r="AF143" s="107"/>
      <c r="AG143" s="107"/>
      <c r="AH143" s="107"/>
      <c r="AI143" s="107"/>
      <c r="AJ143" s="107"/>
      <c r="AK143" s="107"/>
      <c r="AL143" s="108">
        <f>AD143/AD143*100</f>
        <v>100</v>
      </c>
      <c r="AM143" s="108"/>
      <c r="AN143" s="108"/>
      <c r="AO143" s="108"/>
      <c r="AP143" s="109">
        <f>IF(R143/(AD143+0.00001)*100&gt;10000,0,R143/(AD143+0.00001)*100)</f>
        <v>98.927532693292548</v>
      </c>
      <c r="AQ143" s="109"/>
      <c r="AR143" s="109"/>
      <c r="AS143" s="109"/>
      <c r="AT143" s="110"/>
    </row>
    <row r="144" spans="1:46" x14ac:dyDescent="0.25">
      <c r="A144" s="48"/>
      <c r="B144" s="48"/>
      <c r="C144" s="48"/>
      <c r="D144" s="119"/>
      <c r="E144" s="119"/>
      <c r="F144" s="119"/>
      <c r="G144" s="119"/>
      <c r="H144" s="119"/>
      <c r="I144" s="119"/>
      <c r="J144" s="119"/>
      <c r="K144" s="119"/>
      <c r="L144" s="119"/>
      <c r="M144" s="49"/>
      <c r="N144" s="49"/>
      <c r="O144" s="49"/>
      <c r="P144" s="49"/>
      <c r="R144" s="111">
        <f>IF(R143-AD143&lt;0,0,R143-AD143)</f>
        <v>0</v>
      </c>
      <c r="S144" s="111"/>
      <c r="T144" s="111"/>
      <c r="U144" s="111"/>
      <c r="V144" s="111"/>
      <c r="W144" s="111"/>
      <c r="X144" s="111"/>
      <c r="Y144" s="111"/>
      <c r="Z144" s="112"/>
      <c r="AA144" s="112"/>
      <c r="AB144" s="112"/>
      <c r="AC144" s="112"/>
      <c r="AD144" s="111">
        <f>IF(AD143-R143&lt;0,0,AD143-R143)</f>
        <v>2902</v>
      </c>
      <c r="AE144" s="111"/>
      <c r="AF144" s="111"/>
      <c r="AG144" s="111"/>
      <c r="AH144" s="111"/>
      <c r="AI144" s="111"/>
      <c r="AJ144" s="111"/>
      <c r="AK144" s="111"/>
      <c r="AP144" s="113" t="str">
        <f>IF(AP143&gt;100,"POVEĆANJE","SMANJENJE")</f>
        <v>SMANJENJE</v>
      </c>
      <c r="AQ144" s="114"/>
      <c r="AR144" s="115"/>
      <c r="AS144" s="115"/>
      <c r="AT144" s="115"/>
    </row>
    <row r="145" spans="1:46" x14ac:dyDescent="0.25">
      <c r="A145" s="48"/>
      <c r="B145" s="48"/>
      <c r="C145" s="48"/>
      <c r="D145" s="119"/>
      <c r="E145" s="119"/>
      <c r="F145" s="119"/>
      <c r="G145" s="119"/>
      <c r="H145" s="119"/>
      <c r="I145" s="119"/>
      <c r="J145" s="119"/>
      <c r="K145" s="119"/>
      <c r="L145" s="119"/>
      <c r="M145" s="49"/>
      <c r="N145" s="49"/>
      <c r="O145" s="49"/>
      <c r="P145" s="49"/>
      <c r="AP145" s="116">
        <f>ROUND(IF(AP143&gt;100,AP143-100,100-AP143),1)</f>
        <v>1.1000000000000001</v>
      </c>
      <c r="AQ145" s="116"/>
      <c r="AR145" s="116"/>
      <c r="AS145" s="116"/>
      <c r="AT145" s="116"/>
    </row>
    <row r="146" spans="1:46" x14ac:dyDescent="0.25">
      <c r="A146" s="48"/>
      <c r="B146" s="48"/>
      <c r="C146" s="48"/>
      <c r="D146" s="119"/>
      <c r="E146" s="119"/>
      <c r="F146" s="119"/>
      <c r="G146" s="119"/>
      <c r="H146" s="119"/>
      <c r="I146" s="119"/>
      <c r="J146" s="119"/>
      <c r="K146" s="119"/>
      <c r="L146" s="119"/>
      <c r="M146" s="49"/>
      <c r="N146" s="49"/>
      <c r="O146" s="49"/>
      <c r="P146" s="49"/>
      <c r="AP146" s="123"/>
      <c r="AQ146" s="123"/>
      <c r="AR146" s="123"/>
      <c r="AS146" s="123"/>
      <c r="AT146" s="123"/>
    </row>
    <row r="147" spans="1:46" x14ac:dyDescent="0.25">
      <c r="A147" s="48"/>
      <c r="B147" s="48"/>
      <c r="C147" s="48"/>
      <c r="D147" s="119"/>
      <c r="E147" s="119"/>
      <c r="F147" s="119"/>
      <c r="G147" s="119"/>
      <c r="H147" s="119"/>
      <c r="I147" s="119"/>
      <c r="J147" s="119"/>
      <c r="K147" s="119"/>
      <c r="L147" s="119"/>
      <c r="M147" s="49"/>
      <c r="N147" s="49"/>
      <c r="O147" s="49"/>
      <c r="P147" s="49"/>
      <c r="AP147" s="123"/>
      <c r="AQ147" s="123"/>
      <c r="AR147" s="123"/>
      <c r="AS147" s="123"/>
      <c r="AT147" s="123"/>
    </row>
    <row r="148" spans="1:46" ht="15.75" x14ac:dyDescent="0.25">
      <c r="A148" s="48" t="str">
        <f>"Uporedni pregled rashoda "&amp;[1]UnosPod!P6&amp;" i "&amp;[1]UnosPod!U1-1&amp;".g."</f>
        <v>Uporedni pregled rashoda 2012. i 2011.g.</v>
      </c>
      <c r="B148" s="52"/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Y148" s="48" t="str">
        <f>"Pregled strukture ukupnih rashoda  "&amp;[1]UnosPod!P6&amp;"godine"</f>
        <v>Pregled strukture ukupnih rashoda  2012.godine</v>
      </c>
      <c r="Z148" s="48"/>
    </row>
    <row r="149" spans="1:46" x14ac:dyDescent="0.25">
      <c r="A149" s="48"/>
      <c r="B149" s="48"/>
      <c r="C149" s="48"/>
      <c r="D149" s="119"/>
      <c r="E149" s="119"/>
      <c r="F149" s="119"/>
      <c r="G149" s="119"/>
      <c r="H149" s="119"/>
      <c r="I149" s="119"/>
      <c r="J149" s="119"/>
      <c r="K149" s="119"/>
      <c r="L149" s="119"/>
      <c r="M149" s="49"/>
      <c r="N149" s="49"/>
      <c r="O149" s="49"/>
      <c r="P149" s="49"/>
      <c r="AP149" s="123"/>
      <c r="AQ149" s="123"/>
      <c r="AR149" s="123"/>
      <c r="AS149" s="123"/>
      <c r="AT149" s="123"/>
    </row>
    <row r="150" spans="1:46" x14ac:dyDescent="0.25">
      <c r="A150" s="48"/>
      <c r="B150" s="48"/>
      <c r="C150" s="48"/>
      <c r="D150" s="119"/>
      <c r="E150" s="119"/>
      <c r="F150" s="119"/>
      <c r="G150" s="119"/>
      <c r="H150" s="119"/>
      <c r="I150" s="119"/>
      <c r="J150" s="119"/>
      <c r="K150" s="119"/>
      <c r="L150" s="119"/>
      <c r="M150" s="49"/>
      <c r="N150" s="49"/>
      <c r="O150" s="49"/>
      <c r="P150" s="49"/>
      <c r="AP150" s="123"/>
      <c r="AQ150" s="123"/>
      <c r="AR150" s="123"/>
      <c r="AS150" s="123"/>
      <c r="AT150" s="123"/>
    </row>
    <row r="151" spans="1:46" x14ac:dyDescent="0.25">
      <c r="A151" s="48"/>
      <c r="B151" s="48"/>
      <c r="C151" s="48"/>
      <c r="D151" s="119"/>
      <c r="E151" s="119"/>
      <c r="F151" s="119"/>
      <c r="G151" s="119"/>
      <c r="H151" s="119"/>
      <c r="I151" s="119"/>
      <c r="J151" s="119"/>
      <c r="K151" s="119"/>
      <c r="L151" s="119"/>
      <c r="M151" s="49"/>
      <c r="N151" s="49"/>
      <c r="O151" s="49"/>
      <c r="P151" s="49"/>
      <c r="AP151" s="123"/>
      <c r="AQ151" s="123"/>
      <c r="AR151" s="123"/>
      <c r="AS151" s="123"/>
      <c r="AT151" s="123"/>
    </row>
    <row r="152" spans="1:46" x14ac:dyDescent="0.25">
      <c r="A152" s="48"/>
      <c r="B152" s="48"/>
      <c r="C152" s="48"/>
      <c r="D152" s="119"/>
      <c r="E152" s="119"/>
      <c r="F152" s="119"/>
      <c r="G152" s="119"/>
      <c r="H152" s="119"/>
      <c r="I152" s="119"/>
      <c r="J152" s="119"/>
      <c r="K152" s="119"/>
      <c r="L152" s="119"/>
      <c r="M152" s="49"/>
      <c r="N152" s="49"/>
      <c r="O152" s="49"/>
      <c r="P152" s="49"/>
      <c r="AI152" t="str">
        <f>[1]UnosPod!P6</f>
        <v>2012.</v>
      </c>
      <c r="AJ152">
        <f>[1]UnosPod!U1-1</f>
        <v>2011</v>
      </c>
      <c r="AP152" s="123"/>
      <c r="AQ152" s="123"/>
      <c r="AR152" s="123"/>
      <c r="AS152" s="123"/>
      <c r="AT152" s="123"/>
    </row>
    <row r="153" spans="1:46" x14ac:dyDescent="0.25">
      <c r="A153" s="48"/>
      <c r="B153" s="48"/>
      <c r="C153" s="48"/>
      <c r="D153" s="119"/>
      <c r="E153" s="119"/>
      <c r="F153" s="119"/>
      <c r="G153" s="119"/>
      <c r="H153" s="119"/>
      <c r="I153" s="119"/>
      <c r="J153" s="119"/>
      <c r="K153" s="119"/>
      <c r="L153" s="119"/>
      <c r="M153" s="49"/>
      <c r="N153" s="49"/>
      <c r="O153" s="49"/>
      <c r="P153" s="49"/>
      <c r="AH153" t="s">
        <v>50</v>
      </c>
      <c r="AI153" s="117">
        <f>R143</f>
        <v>267689</v>
      </c>
      <c r="AJ153" s="117">
        <f>AD143</f>
        <v>270591</v>
      </c>
      <c r="AP153" s="123"/>
      <c r="AQ153" s="123"/>
      <c r="AR153" s="123"/>
      <c r="AS153" s="123"/>
      <c r="AT153" s="123"/>
    </row>
    <row r="154" spans="1:46" x14ac:dyDescent="0.25">
      <c r="A154" s="48"/>
      <c r="B154" s="48"/>
      <c r="C154" s="48"/>
      <c r="D154" s="119"/>
      <c r="E154" s="119"/>
      <c r="F154" s="119"/>
      <c r="G154" s="119"/>
      <c r="H154" s="119"/>
      <c r="I154" s="119"/>
      <c r="J154" s="119"/>
      <c r="K154" s="119"/>
      <c r="L154" s="119"/>
      <c r="M154" s="49"/>
      <c r="N154" s="49"/>
      <c r="O154" s="49"/>
      <c r="P154" s="49"/>
      <c r="AP154" s="123"/>
      <c r="AQ154" s="123"/>
      <c r="AR154" s="123"/>
      <c r="AS154" s="123"/>
      <c r="AT154" s="123"/>
    </row>
    <row r="155" spans="1:46" x14ac:dyDescent="0.25">
      <c r="A155" s="48"/>
      <c r="B155" s="48"/>
      <c r="C155" s="48"/>
      <c r="D155" s="119"/>
      <c r="E155" s="119"/>
      <c r="F155" s="119"/>
      <c r="G155" s="119"/>
      <c r="H155" s="119"/>
      <c r="I155" s="119"/>
      <c r="J155" s="119"/>
      <c r="K155" s="119"/>
      <c r="L155" s="119"/>
      <c r="M155" s="49"/>
      <c r="N155" s="49"/>
      <c r="O155" s="49"/>
      <c r="P155" s="49"/>
      <c r="AP155" s="123"/>
      <c r="AQ155" s="123"/>
      <c r="AR155" s="123"/>
      <c r="AS155" s="123"/>
      <c r="AT155" s="123"/>
    </row>
    <row r="156" spans="1:46" x14ac:dyDescent="0.25">
      <c r="A156" s="48"/>
      <c r="B156" s="48"/>
      <c r="C156" s="48"/>
      <c r="D156" s="119"/>
      <c r="E156" s="119"/>
      <c r="F156" s="119"/>
      <c r="G156" s="119"/>
      <c r="H156" s="119"/>
      <c r="I156" s="119"/>
      <c r="J156" s="119"/>
      <c r="K156" s="119"/>
      <c r="L156" s="119"/>
      <c r="M156" s="49"/>
      <c r="N156" s="49"/>
      <c r="O156" s="49"/>
      <c r="P156" s="49"/>
      <c r="AH156" s="118" t="s">
        <v>40</v>
      </c>
      <c r="AI156" s="117">
        <f>R140</f>
        <v>265587</v>
      </c>
      <c r="AP156" s="123"/>
      <c r="AQ156" s="123"/>
      <c r="AR156" s="123"/>
      <c r="AS156" s="123"/>
      <c r="AT156" s="123"/>
    </row>
    <row r="157" spans="1:46" x14ac:dyDescent="0.25">
      <c r="A157" s="48"/>
      <c r="B157" s="48"/>
      <c r="C157" s="48"/>
      <c r="D157" s="119"/>
      <c r="E157" s="119"/>
      <c r="F157" s="119"/>
      <c r="G157" s="119"/>
      <c r="H157" s="119"/>
      <c r="I157" s="119"/>
      <c r="J157" s="119"/>
      <c r="K157" s="119"/>
      <c r="L157" s="119"/>
      <c r="M157" s="49"/>
      <c r="N157" s="49"/>
      <c r="O157" s="49"/>
      <c r="P157" s="49"/>
      <c r="AH157" s="118" t="s">
        <v>51</v>
      </c>
      <c r="AI157" s="117">
        <f>R141</f>
        <v>5</v>
      </c>
      <c r="AP157" s="123"/>
      <c r="AQ157" s="123"/>
      <c r="AR157" s="123"/>
      <c r="AS157" s="123"/>
      <c r="AT157" s="123"/>
    </row>
    <row r="158" spans="1:46" x14ac:dyDescent="0.25">
      <c r="A158" s="48"/>
      <c r="B158" s="48"/>
      <c r="C158" s="48"/>
      <c r="D158" s="119"/>
      <c r="E158" s="119"/>
      <c r="F158" s="119"/>
      <c r="G158" s="119"/>
      <c r="H158" s="119"/>
      <c r="I158" s="119"/>
      <c r="J158" s="119"/>
      <c r="K158" s="119"/>
      <c r="L158" s="119"/>
      <c r="M158" s="49"/>
      <c r="N158" s="49"/>
      <c r="O158" s="49"/>
      <c r="P158" s="49"/>
      <c r="AH158" s="118" t="s">
        <v>52</v>
      </c>
      <c r="AI158" s="117">
        <f>R142</f>
        <v>2097</v>
      </c>
      <c r="AP158" s="123"/>
      <c r="AQ158" s="123"/>
      <c r="AR158" s="123"/>
      <c r="AS158" s="123"/>
      <c r="AT158" s="123"/>
    </row>
    <row r="159" spans="1:46" x14ac:dyDescent="0.25">
      <c r="A159" s="48"/>
      <c r="B159" s="48"/>
      <c r="C159" s="48"/>
      <c r="D159" s="119"/>
      <c r="E159" s="119"/>
      <c r="F159" s="119"/>
      <c r="G159" s="119"/>
      <c r="H159" s="119"/>
      <c r="I159" s="119"/>
      <c r="J159" s="119"/>
      <c r="K159" s="119"/>
      <c r="L159" s="119"/>
      <c r="M159" s="49"/>
      <c r="N159" s="49"/>
      <c r="O159" s="49"/>
      <c r="P159" s="49"/>
      <c r="AP159" s="123"/>
      <c r="AQ159" s="123"/>
      <c r="AR159" s="123"/>
      <c r="AS159" s="123"/>
      <c r="AT159" s="123"/>
    </row>
    <row r="160" spans="1:46" x14ac:dyDescent="0.25">
      <c r="A160" s="48"/>
      <c r="B160" s="48"/>
      <c r="C160" s="48"/>
      <c r="D160" s="119"/>
      <c r="E160" s="119"/>
      <c r="F160" s="119"/>
      <c r="G160" s="119"/>
      <c r="H160" s="119"/>
      <c r="I160" s="119"/>
      <c r="J160" s="119"/>
      <c r="K160" s="119"/>
      <c r="L160" s="119"/>
      <c r="M160" s="49"/>
      <c r="N160" s="49"/>
      <c r="O160" s="49"/>
      <c r="P160" s="49"/>
      <c r="AP160" s="123"/>
      <c r="AQ160" s="123"/>
      <c r="AR160" s="123"/>
      <c r="AS160" s="123"/>
      <c r="AT160" s="123"/>
    </row>
    <row r="161" spans="1:46" x14ac:dyDescent="0.25">
      <c r="A161" s="48"/>
      <c r="B161" s="48"/>
      <c r="C161" s="48"/>
      <c r="D161" s="119"/>
      <c r="E161" s="119"/>
      <c r="F161" s="119"/>
      <c r="G161" s="119"/>
      <c r="H161" s="119"/>
      <c r="I161" s="119"/>
      <c r="J161" s="119"/>
      <c r="K161" s="119"/>
      <c r="L161" s="119"/>
      <c r="M161" s="49"/>
      <c r="N161" s="49"/>
      <c r="O161" s="49"/>
      <c r="P161" s="49"/>
      <c r="AP161" s="123"/>
      <c r="AQ161" s="123"/>
      <c r="AR161" s="123"/>
      <c r="AS161" s="123"/>
      <c r="AT161" s="123"/>
    </row>
    <row r="162" spans="1:46" x14ac:dyDescent="0.25">
      <c r="A162" s="48"/>
      <c r="B162" s="48"/>
      <c r="C162" s="48"/>
      <c r="D162" s="119"/>
      <c r="E162" s="119"/>
      <c r="F162" s="119"/>
      <c r="G162" s="119"/>
      <c r="H162" s="119"/>
      <c r="I162" s="119"/>
      <c r="J162" s="119"/>
      <c r="K162" s="119"/>
      <c r="L162" s="119"/>
      <c r="M162" s="49"/>
      <c r="N162" s="49"/>
      <c r="O162" s="49"/>
      <c r="P162" s="49"/>
      <c r="AP162" s="123"/>
      <c r="AQ162" s="123"/>
      <c r="AR162" s="123"/>
      <c r="AS162" s="123"/>
      <c r="AT162" s="123"/>
    </row>
    <row r="163" spans="1:46" x14ac:dyDescent="0.25">
      <c r="A163" s="48"/>
      <c r="B163" s="48"/>
      <c r="C163" s="48"/>
      <c r="D163" s="119"/>
      <c r="E163" s="119"/>
      <c r="F163" s="119"/>
      <c r="G163" s="119"/>
      <c r="H163" s="119"/>
      <c r="I163" s="119"/>
      <c r="J163" s="119"/>
      <c r="K163" s="119"/>
      <c r="L163" s="119"/>
      <c r="M163" s="49"/>
      <c r="N163" s="49"/>
      <c r="O163" s="49"/>
      <c r="P163" s="49"/>
      <c r="AP163" s="123"/>
      <c r="AQ163" s="123"/>
      <c r="AR163" s="123"/>
      <c r="AS163" s="123"/>
      <c r="AT163" s="123"/>
    </row>
    <row r="164" spans="1:46" x14ac:dyDescent="0.25">
      <c r="A164" s="48"/>
      <c r="B164" s="48"/>
      <c r="C164" s="48"/>
      <c r="D164" s="119"/>
      <c r="E164" s="119"/>
      <c r="F164" s="119"/>
      <c r="G164" s="119"/>
      <c r="H164" s="119"/>
      <c r="I164" s="119"/>
      <c r="J164" s="119"/>
      <c r="K164" s="119"/>
      <c r="L164" s="119"/>
      <c r="M164" s="49"/>
      <c r="N164" s="49"/>
      <c r="O164" s="49"/>
      <c r="P164" s="49"/>
      <c r="AP164" s="123"/>
      <c r="AQ164" s="123"/>
      <c r="AR164" s="123"/>
      <c r="AS164" s="123"/>
      <c r="AT164" s="123"/>
    </row>
    <row r="165" spans="1:46" x14ac:dyDescent="0.25">
      <c r="A165" s="48"/>
      <c r="B165" s="48"/>
      <c r="C165" s="48"/>
      <c r="D165" s="119"/>
      <c r="E165" s="119"/>
      <c r="F165" s="119"/>
      <c r="G165" s="119"/>
      <c r="H165" s="119"/>
      <c r="I165" s="119"/>
      <c r="J165" s="119"/>
      <c r="K165" s="119"/>
      <c r="L165" s="119"/>
      <c r="M165" s="49"/>
      <c r="N165" s="49"/>
      <c r="O165" s="49"/>
      <c r="P165" s="49"/>
      <c r="AP165" s="123"/>
      <c r="AQ165" s="123"/>
      <c r="AR165" s="123"/>
      <c r="AS165" s="123"/>
      <c r="AT165" s="123"/>
    </row>
    <row r="166" spans="1:46" x14ac:dyDescent="0.25">
      <c r="A166" s="48"/>
      <c r="B166" s="48"/>
      <c r="C166" s="48"/>
      <c r="D166" s="119"/>
      <c r="E166" s="119"/>
      <c r="F166" s="119"/>
      <c r="G166" s="119"/>
      <c r="H166" s="119"/>
      <c r="I166" s="119"/>
      <c r="J166" s="119"/>
      <c r="K166" s="119"/>
      <c r="L166" s="119"/>
      <c r="M166" s="49"/>
      <c r="N166" s="49"/>
      <c r="O166" s="49"/>
      <c r="P166" s="49"/>
      <c r="AP166" s="123"/>
      <c r="AQ166" s="123"/>
      <c r="AR166" s="123"/>
      <c r="AS166" s="123"/>
      <c r="AT166" s="123"/>
    </row>
    <row r="167" spans="1:46" x14ac:dyDescent="0.25">
      <c r="A167" s="48"/>
      <c r="B167" s="48"/>
      <c r="C167" s="48"/>
      <c r="D167" s="119"/>
      <c r="E167" s="119"/>
      <c r="F167" s="119"/>
      <c r="G167" s="119"/>
      <c r="H167" s="119"/>
      <c r="I167" s="119"/>
      <c r="J167" s="119"/>
      <c r="K167" s="119"/>
      <c r="L167" s="119"/>
      <c r="M167" s="49"/>
      <c r="N167" s="49"/>
      <c r="O167" s="49"/>
      <c r="P167" s="49"/>
      <c r="AP167" s="123"/>
      <c r="AQ167" s="123"/>
      <c r="AR167" s="123"/>
      <c r="AS167" s="123"/>
      <c r="AT167" s="123"/>
    </row>
    <row r="168" spans="1:46" x14ac:dyDescent="0.25">
      <c r="A168" s="48"/>
      <c r="B168" s="48"/>
      <c r="C168" s="48"/>
      <c r="D168" s="119"/>
      <c r="E168" s="119"/>
      <c r="F168" s="119"/>
      <c r="G168" s="119"/>
      <c r="H168" s="119"/>
      <c r="I168" s="119"/>
      <c r="J168" s="119"/>
      <c r="K168" s="119"/>
      <c r="L168" s="119"/>
      <c r="M168" s="49"/>
      <c r="N168" s="49"/>
      <c r="O168" s="49"/>
      <c r="P168" s="49"/>
      <c r="AP168" s="123"/>
      <c r="AQ168" s="123"/>
      <c r="AR168" s="123"/>
      <c r="AS168" s="123"/>
      <c r="AT168" s="123"/>
    </row>
    <row r="169" spans="1:46" x14ac:dyDescent="0.25">
      <c r="A169" s="48"/>
      <c r="B169" s="48"/>
      <c r="C169" s="48"/>
      <c r="D169" s="119"/>
      <c r="E169" s="119"/>
      <c r="F169" s="119"/>
      <c r="G169" s="119"/>
      <c r="H169" s="119"/>
      <c r="I169" s="119"/>
      <c r="J169" s="119"/>
      <c r="K169" s="119"/>
      <c r="L169" s="119"/>
      <c r="M169" s="49"/>
      <c r="N169" s="49"/>
      <c r="O169" s="49"/>
      <c r="P169" s="49"/>
      <c r="AP169" s="123"/>
      <c r="AQ169" s="123"/>
      <c r="AR169" s="123"/>
      <c r="AS169" s="123"/>
      <c r="AT169" s="123"/>
    </row>
    <row r="170" spans="1:46" x14ac:dyDescent="0.25">
      <c r="A170" s="48"/>
      <c r="B170" s="48"/>
      <c r="C170" s="48"/>
      <c r="D170" s="119"/>
      <c r="E170" s="119"/>
      <c r="F170" s="119"/>
      <c r="G170" s="119"/>
      <c r="H170" s="119"/>
      <c r="I170" s="119"/>
      <c r="J170" s="119"/>
      <c r="K170" s="119"/>
      <c r="L170" s="119"/>
      <c r="M170" s="49"/>
      <c r="N170" s="49"/>
      <c r="O170" s="49"/>
      <c r="P170" s="49"/>
      <c r="AP170" s="123"/>
      <c r="AQ170" s="123"/>
      <c r="AR170" s="123"/>
      <c r="AS170" s="123"/>
      <c r="AT170" s="123"/>
    </row>
    <row r="171" spans="1:46" x14ac:dyDescent="0.25">
      <c r="A171" s="48"/>
      <c r="B171" s="48"/>
      <c r="C171" s="48"/>
      <c r="D171" s="119"/>
      <c r="E171" s="119"/>
      <c r="F171" s="119"/>
      <c r="G171" s="119"/>
      <c r="H171" s="119"/>
      <c r="I171" s="119"/>
      <c r="J171" s="119"/>
      <c r="K171" s="119"/>
      <c r="L171" s="119"/>
      <c r="M171" s="49"/>
      <c r="N171" s="49"/>
      <c r="O171" s="49"/>
      <c r="P171" s="49"/>
      <c r="AP171" s="123"/>
      <c r="AQ171" s="123"/>
      <c r="AR171" s="123"/>
      <c r="AS171" s="123"/>
      <c r="AT171" s="123"/>
    </row>
    <row r="172" spans="1:46" x14ac:dyDescent="0.25">
      <c r="A172" s="48"/>
      <c r="B172" s="48"/>
      <c r="C172" s="48"/>
      <c r="D172" s="119"/>
      <c r="E172" s="119"/>
      <c r="F172" s="119"/>
      <c r="G172" s="119"/>
      <c r="H172" s="119"/>
      <c r="I172" s="119"/>
      <c r="J172" s="119"/>
      <c r="K172" s="119"/>
      <c r="L172" s="119"/>
      <c r="M172" s="49"/>
      <c r="N172" s="49"/>
      <c r="O172" s="49"/>
      <c r="P172" s="49"/>
      <c r="AP172" s="123"/>
      <c r="AQ172" s="123"/>
      <c r="AR172" s="123"/>
      <c r="AS172" s="123"/>
      <c r="AT172" s="123"/>
    </row>
    <row r="173" spans="1:46" x14ac:dyDescent="0.25">
      <c r="A173" s="48"/>
      <c r="B173" s="48"/>
      <c r="C173" s="48"/>
      <c r="D173" s="119"/>
      <c r="E173" s="119"/>
      <c r="F173" s="119"/>
      <c r="G173" s="119"/>
      <c r="H173" s="119"/>
      <c r="I173" s="119"/>
      <c r="J173" s="119"/>
      <c r="K173" s="119"/>
      <c r="L173" s="119"/>
      <c r="M173" s="49"/>
      <c r="N173" s="49"/>
      <c r="O173" s="49"/>
      <c r="P173" s="49"/>
      <c r="AP173" s="123"/>
      <c r="AQ173" s="123"/>
      <c r="AR173" s="123"/>
      <c r="AS173" s="123"/>
      <c r="AT173" s="123"/>
    </row>
    <row r="174" spans="1:46" x14ac:dyDescent="0.25">
      <c r="A174" s="48"/>
      <c r="B174" s="48"/>
      <c r="C174" s="48"/>
      <c r="D174" s="119"/>
      <c r="E174" s="119"/>
      <c r="F174" s="119"/>
      <c r="G174" s="119"/>
      <c r="H174" s="119"/>
      <c r="I174" s="119"/>
      <c r="J174" s="119"/>
      <c r="K174" s="119"/>
      <c r="L174" s="119"/>
      <c r="M174" s="49"/>
      <c r="N174" s="49"/>
      <c r="O174" s="49"/>
      <c r="P174" s="49"/>
      <c r="AP174" s="123"/>
      <c r="AQ174" s="123"/>
      <c r="AR174" s="123"/>
      <c r="AS174" s="123"/>
      <c r="AT174" s="123"/>
    </row>
    <row r="175" spans="1:46" x14ac:dyDescent="0.25">
      <c r="A175" s="48"/>
      <c r="B175" s="48"/>
      <c r="C175" s="48"/>
      <c r="D175" s="119"/>
      <c r="E175" s="119"/>
      <c r="F175" s="119"/>
      <c r="G175" s="119"/>
      <c r="H175" s="119"/>
      <c r="I175" s="119"/>
      <c r="J175" s="119"/>
      <c r="K175" s="119"/>
      <c r="L175" s="119"/>
      <c r="M175" s="49"/>
      <c r="N175" s="49"/>
      <c r="O175" s="49"/>
      <c r="P175" s="49"/>
      <c r="AP175" s="123"/>
      <c r="AQ175" s="123"/>
      <c r="AR175" s="123"/>
      <c r="AS175" s="123"/>
      <c r="AT175" s="123"/>
    </row>
    <row r="176" spans="1:46" x14ac:dyDescent="0.25">
      <c r="A176" s="48"/>
      <c r="B176" s="48"/>
      <c r="C176" s="48"/>
      <c r="D176" s="119"/>
      <c r="E176" s="119"/>
      <c r="F176" s="119"/>
      <c r="G176" s="119"/>
      <c r="H176" s="119"/>
      <c r="I176" s="119"/>
      <c r="J176" s="119"/>
      <c r="K176" s="119"/>
      <c r="L176" s="119"/>
      <c r="M176" s="49"/>
      <c r="N176" s="49"/>
      <c r="O176" s="49"/>
      <c r="P176" s="49"/>
      <c r="AP176" s="123"/>
      <c r="AQ176" s="123"/>
      <c r="AR176" s="123"/>
      <c r="AS176" s="123"/>
      <c r="AT176" s="123"/>
    </row>
    <row r="177" spans="1:38" x14ac:dyDescent="0.25">
      <c r="A177" s="48"/>
      <c r="B177" s="48"/>
      <c r="C177" s="48"/>
      <c r="D177" s="119"/>
      <c r="E177" s="119"/>
      <c r="F177" s="119"/>
      <c r="G177" s="119"/>
      <c r="H177" s="119"/>
      <c r="I177" s="119"/>
      <c r="J177" s="119"/>
      <c r="K177" s="119"/>
      <c r="L177" s="119"/>
      <c r="M177" s="49"/>
      <c r="N177" s="49"/>
      <c r="O177" s="49"/>
      <c r="P177" s="49"/>
    </row>
    <row r="178" spans="1:38" x14ac:dyDescent="0.25">
      <c r="A178" s="50"/>
      <c r="B178" s="50" t="s">
        <v>53</v>
      </c>
      <c r="C178" s="48"/>
      <c r="D178" s="119"/>
      <c r="E178" s="119"/>
      <c r="F178" s="119"/>
      <c r="G178" s="119"/>
      <c r="H178" s="119"/>
      <c r="I178" s="119"/>
      <c r="J178" s="119"/>
      <c r="K178" s="119"/>
      <c r="L178" s="119"/>
      <c r="M178" s="49"/>
      <c r="N178" s="49"/>
      <c r="O178" s="49"/>
      <c r="P178" s="49"/>
    </row>
    <row r="179" spans="1:38" x14ac:dyDescent="0.25">
      <c r="A179" s="48"/>
      <c r="B179" s="48"/>
      <c r="C179" s="48"/>
      <c r="D179" s="119"/>
      <c r="E179" s="119"/>
      <c r="F179" s="119"/>
      <c r="G179" s="119"/>
      <c r="H179" s="119"/>
      <c r="I179" s="119"/>
      <c r="J179" s="119"/>
      <c r="K179" s="119"/>
      <c r="L179" s="119"/>
      <c r="M179" s="49"/>
      <c r="N179" s="49"/>
      <c r="O179" s="49"/>
      <c r="P179" s="49"/>
    </row>
    <row r="180" spans="1:38" ht="15.75" x14ac:dyDescent="0.25">
      <c r="A180" s="52"/>
      <c r="B180" s="48" t="s">
        <v>54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38" ht="15" customHeight="1" x14ac:dyDescent="0.25">
      <c r="A181" s="54" t="s">
        <v>26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120" t="s">
        <v>27</v>
      </c>
      <c r="S181" s="121"/>
      <c r="T181" s="121"/>
      <c r="U181" s="121"/>
      <c r="V181" s="121"/>
      <c r="W181" s="121"/>
      <c r="X181" s="121"/>
      <c r="Y181" s="122"/>
      <c r="Z181" s="120" t="s">
        <v>28</v>
      </c>
      <c r="AA181" s="121"/>
      <c r="AB181" s="121"/>
      <c r="AC181" s="121"/>
      <c r="AD181" s="121"/>
      <c r="AE181" s="121"/>
      <c r="AF181" s="121"/>
      <c r="AG181" s="122"/>
      <c r="AH181" s="57" t="s">
        <v>29</v>
      </c>
      <c r="AI181" s="57"/>
      <c r="AJ181" s="57"/>
      <c r="AK181" s="57"/>
      <c r="AL181" s="58"/>
    </row>
    <row r="182" spans="1:38" ht="15" customHeight="1" x14ac:dyDescent="0.25">
      <c r="A182" s="59" t="s">
        <v>30</v>
      </c>
      <c r="B182" s="60" t="s">
        <v>31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1" t="s">
        <v>32</v>
      </c>
      <c r="S182" s="61"/>
      <c r="T182" s="61"/>
      <c r="U182" s="61"/>
      <c r="V182" s="61"/>
      <c r="W182" s="61"/>
      <c r="X182" s="61"/>
      <c r="Y182" s="61"/>
      <c r="Z182" s="61" t="s">
        <v>32</v>
      </c>
      <c r="AA182" s="61"/>
      <c r="AB182" s="61"/>
      <c r="AC182" s="61"/>
      <c r="AD182" s="61"/>
      <c r="AE182" s="61"/>
      <c r="AF182" s="61"/>
      <c r="AG182" s="61"/>
      <c r="AH182" s="63" t="s">
        <v>55</v>
      </c>
      <c r="AI182" s="63"/>
      <c r="AJ182" s="63"/>
      <c r="AK182" s="63"/>
      <c r="AL182" s="64"/>
    </row>
    <row r="183" spans="1:38" x14ac:dyDescent="0.25">
      <c r="A183" s="65">
        <v>0</v>
      </c>
      <c r="B183" s="66">
        <v>1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7">
        <v>2</v>
      </c>
      <c r="S183" s="67"/>
      <c r="T183" s="67"/>
      <c r="U183" s="67"/>
      <c r="V183" s="67"/>
      <c r="W183" s="67"/>
      <c r="X183" s="67"/>
      <c r="Y183" s="67"/>
      <c r="Z183" s="67">
        <v>3</v>
      </c>
      <c r="AA183" s="67"/>
      <c r="AB183" s="67"/>
      <c r="AC183" s="67"/>
      <c r="AD183" s="67"/>
      <c r="AE183" s="67"/>
      <c r="AF183" s="67"/>
      <c r="AG183" s="67"/>
      <c r="AH183" s="67">
        <v>4</v>
      </c>
      <c r="AI183" s="67"/>
      <c r="AJ183" s="67"/>
      <c r="AK183" s="67"/>
      <c r="AL183" s="68"/>
    </row>
    <row r="184" spans="1:38" ht="20.25" customHeight="1" x14ac:dyDescent="0.25">
      <c r="A184" s="124">
        <v>1</v>
      </c>
      <c r="B184" s="125" t="s">
        <v>56</v>
      </c>
      <c r="C184" s="71"/>
      <c r="D184" s="71"/>
      <c r="E184" s="71"/>
      <c r="F184" s="71"/>
      <c r="G184" s="71"/>
      <c r="H184" s="71"/>
      <c r="I184" s="71"/>
      <c r="J184" s="71"/>
      <c r="K184" s="126"/>
      <c r="L184" s="126"/>
      <c r="M184" s="126"/>
      <c r="N184" s="126"/>
      <c r="O184" s="126"/>
      <c r="P184" s="126"/>
      <c r="Q184" s="127"/>
      <c r="R184" s="75">
        <f>[1]B.Uspjeha!AG144</f>
        <v>110087</v>
      </c>
      <c r="S184" s="75"/>
      <c r="T184" s="75"/>
      <c r="U184" s="75"/>
      <c r="V184" s="75"/>
      <c r="W184" s="75"/>
      <c r="X184" s="75"/>
      <c r="Y184" s="75"/>
      <c r="Z184" s="75">
        <f>[1]B.Uspjeha!AO144</f>
        <v>198142</v>
      </c>
      <c r="AA184" s="75"/>
      <c r="AB184" s="75"/>
      <c r="AC184" s="75"/>
      <c r="AD184" s="75"/>
      <c r="AE184" s="75"/>
      <c r="AF184" s="75"/>
      <c r="AG184" s="75"/>
      <c r="AH184" s="128">
        <f>IF(R184/(Z184+0.00001)*100&gt;10000,0,R184/(Z184+0.00001)*100)</f>
        <v>55.559649137711361</v>
      </c>
      <c r="AI184" s="128"/>
      <c r="AJ184" s="128"/>
      <c r="AK184" s="128"/>
      <c r="AL184" s="129"/>
    </row>
    <row r="185" spans="1:38" ht="20.25" customHeight="1" x14ac:dyDescent="0.25">
      <c r="A185" s="130">
        <v>2</v>
      </c>
      <c r="B185" s="131" t="s">
        <v>57</v>
      </c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132"/>
      <c r="N185" s="132"/>
      <c r="O185" s="132"/>
      <c r="P185" s="132"/>
      <c r="Q185" s="133"/>
      <c r="R185" s="86">
        <f>[1]B.Uspjeha!AG146</f>
        <v>0</v>
      </c>
      <c r="S185" s="86"/>
      <c r="T185" s="86"/>
      <c r="U185" s="86"/>
      <c r="V185" s="86"/>
      <c r="W185" s="86"/>
      <c r="X185" s="86"/>
      <c r="Y185" s="86"/>
      <c r="Z185" s="86">
        <f>[1]B.Uspjeha!AO146</f>
        <v>0</v>
      </c>
      <c r="AA185" s="86"/>
      <c r="AB185" s="86"/>
      <c r="AC185" s="86"/>
      <c r="AD185" s="86"/>
      <c r="AE185" s="86"/>
      <c r="AF185" s="86"/>
      <c r="AG185" s="86"/>
      <c r="AH185" s="134">
        <f>IF(R185/(Z185+0.00001)*100&gt;10000,0,R185/(Z185+0.00001)*100)</f>
        <v>0</v>
      </c>
      <c r="AI185" s="134"/>
      <c r="AJ185" s="134"/>
      <c r="AK185" s="134"/>
      <c r="AL185" s="135"/>
    </row>
    <row r="186" spans="1:38" ht="20.25" customHeight="1" x14ac:dyDescent="0.25">
      <c r="A186" s="80">
        <v>3</v>
      </c>
      <c r="B186" s="81" t="s">
        <v>58</v>
      </c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132"/>
      <c r="N186" s="132"/>
      <c r="O186" s="132"/>
      <c r="P186" s="132"/>
      <c r="Q186" s="133"/>
      <c r="R186" s="86">
        <f>[1]B.Uspjeha!AG149</f>
        <v>0</v>
      </c>
      <c r="S186" s="86"/>
      <c r="T186" s="86"/>
      <c r="U186" s="86"/>
      <c r="V186" s="86"/>
      <c r="W186" s="86"/>
      <c r="X186" s="86"/>
      <c r="Y186" s="86"/>
      <c r="Z186" s="86">
        <f>[1]B.Uspjeha!AO149</f>
        <v>0</v>
      </c>
      <c r="AA186" s="86"/>
      <c r="AB186" s="86"/>
      <c r="AC186" s="86"/>
      <c r="AD186" s="86"/>
      <c r="AE186" s="86"/>
      <c r="AF186" s="86"/>
      <c r="AG186" s="86"/>
      <c r="AH186" s="134">
        <f>IF(R186/(Z186+0.00001)*100&gt;10000,0,R186/(Z186+0.00001)*100)</f>
        <v>0</v>
      </c>
      <c r="AI186" s="134"/>
      <c r="AJ186" s="134"/>
      <c r="AK186" s="134"/>
      <c r="AL186" s="135"/>
    </row>
    <row r="187" spans="1:38" ht="20.25" customHeight="1" x14ac:dyDescent="0.25">
      <c r="A187" s="130">
        <v>4</v>
      </c>
      <c r="B187" s="131" t="s">
        <v>59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132"/>
      <c r="N187" s="132"/>
      <c r="O187" s="132"/>
      <c r="P187" s="132"/>
      <c r="Q187" s="133"/>
      <c r="R187" s="86">
        <f>[1]B.Uspjeha!AG153</f>
        <v>110087</v>
      </c>
      <c r="S187" s="86"/>
      <c r="T187" s="86"/>
      <c r="U187" s="86"/>
      <c r="V187" s="86"/>
      <c r="W187" s="86"/>
      <c r="X187" s="86"/>
      <c r="Y187" s="86"/>
      <c r="Z187" s="86">
        <f>[1]B.Uspjeha!AO153</f>
        <v>198142</v>
      </c>
      <c r="AA187" s="86"/>
      <c r="AB187" s="86"/>
      <c r="AC187" s="86"/>
      <c r="AD187" s="86"/>
      <c r="AE187" s="86"/>
      <c r="AF187" s="86"/>
      <c r="AG187" s="86"/>
      <c r="AH187" s="134">
        <f>IF(R187/(Z187+0.00001)*100&gt;10000,0,R187/(Z187+0.00001)*100)</f>
        <v>55.559649137711361</v>
      </c>
      <c r="AI187" s="134"/>
      <c r="AJ187" s="134"/>
      <c r="AK187" s="134"/>
      <c r="AL187" s="135"/>
    </row>
    <row r="188" spans="1:38" ht="20.25" customHeight="1" x14ac:dyDescent="0.25">
      <c r="A188" s="136">
        <v>5</v>
      </c>
      <c r="B188" s="137" t="s">
        <v>60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138"/>
      <c r="N188" s="138"/>
      <c r="O188" s="138"/>
      <c r="P188" s="138"/>
      <c r="Q188" s="139"/>
      <c r="R188" s="97">
        <f>[1]B.Uspjeha!AG154</f>
        <v>0</v>
      </c>
      <c r="S188" s="97"/>
      <c r="T188" s="97"/>
      <c r="U188" s="97"/>
      <c r="V188" s="97"/>
      <c r="W188" s="97"/>
      <c r="X188" s="97"/>
      <c r="Y188" s="97"/>
      <c r="Z188" s="97">
        <f>[1]B.Uspjeha!AO154</f>
        <v>0</v>
      </c>
      <c r="AA188" s="97"/>
      <c r="AB188" s="97"/>
      <c r="AC188" s="97"/>
      <c r="AD188" s="97"/>
      <c r="AE188" s="97"/>
      <c r="AF188" s="97"/>
      <c r="AG188" s="97"/>
      <c r="AH188" s="140">
        <f>IF(R188/(Z188+0.00001)*100&gt;10000,0,R188/(Z188+0.00001)*100)</f>
        <v>0</v>
      </c>
      <c r="AI188" s="140"/>
      <c r="AJ188" s="140"/>
      <c r="AK188" s="140"/>
      <c r="AL188" s="141"/>
    </row>
    <row r="189" spans="1:38" x14ac:dyDescent="0.25">
      <c r="A189" s="48"/>
      <c r="B189" s="48"/>
      <c r="C189" s="48"/>
      <c r="D189" s="119"/>
      <c r="E189" s="119"/>
      <c r="F189" s="119"/>
      <c r="G189" s="119"/>
      <c r="H189" s="119"/>
      <c r="I189" s="119"/>
      <c r="J189" s="119"/>
      <c r="K189" s="119"/>
      <c r="L189" s="119"/>
      <c r="M189" s="49"/>
      <c r="N189" s="49"/>
      <c r="O189" s="49"/>
      <c r="P189" s="49"/>
    </row>
    <row r="190" spans="1:38" x14ac:dyDescent="0.25">
      <c r="A190" s="48"/>
      <c r="B190" s="48"/>
      <c r="C190" s="48"/>
      <c r="D190" s="119"/>
      <c r="E190" s="119"/>
      <c r="F190" s="119"/>
      <c r="G190" s="119"/>
      <c r="H190" s="119"/>
      <c r="I190" s="119"/>
      <c r="J190" s="119"/>
      <c r="K190" s="119"/>
      <c r="L190" s="119"/>
      <c r="M190" s="49"/>
      <c r="N190" s="49"/>
      <c r="O190" s="49"/>
      <c r="P190" s="49"/>
    </row>
    <row r="191" spans="1:38" x14ac:dyDescent="0.25">
      <c r="A191" s="48"/>
      <c r="B191" s="48"/>
      <c r="C191" s="48"/>
      <c r="D191" s="119"/>
      <c r="E191" s="119"/>
      <c r="F191" s="119"/>
      <c r="G191" s="119"/>
      <c r="H191" s="119"/>
      <c r="I191" s="119"/>
      <c r="J191" s="119"/>
      <c r="K191" s="119"/>
      <c r="L191" s="119"/>
      <c r="M191" s="49"/>
      <c r="N191" s="49"/>
      <c r="O191" s="49"/>
      <c r="P191" s="49"/>
    </row>
    <row r="192" spans="1:38" x14ac:dyDescent="0.25">
      <c r="A192" s="48"/>
      <c r="B192" s="48" t="str">
        <f>"Grafički prikaz ostvarenih prihoda, rashoda i dobit u periodu "&amp;[1]UnosPod!P6&amp;" i "&amp;[1]UnosPod!U1-1&amp;".godini"</f>
        <v>Grafički prikaz ostvarenih prihoda, rashoda i dobit u periodu 2012. i 2011.godini</v>
      </c>
      <c r="C192" s="48"/>
      <c r="D192" s="119"/>
      <c r="E192" s="119"/>
      <c r="F192" s="119"/>
      <c r="G192" s="119"/>
      <c r="H192" s="119"/>
      <c r="I192" s="119"/>
      <c r="J192" s="119"/>
      <c r="K192" s="119"/>
      <c r="L192" s="119"/>
      <c r="M192" s="49"/>
      <c r="N192" s="49"/>
      <c r="O192" s="49"/>
      <c r="P192" s="49"/>
    </row>
    <row r="193" spans="1:35" x14ac:dyDescent="0.25">
      <c r="A193" s="48"/>
      <c r="C193" s="48"/>
      <c r="D193" s="119"/>
      <c r="E193" s="119"/>
      <c r="F193" s="119"/>
      <c r="G193" s="119"/>
      <c r="H193" s="119"/>
      <c r="I193" s="119"/>
      <c r="J193" s="119"/>
      <c r="K193" s="119"/>
      <c r="L193" s="119"/>
      <c r="M193" s="49"/>
      <c r="N193" s="49"/>
      <c r="O193" s="49"/>
      <c r="P193" s="49"/>
    </row>
    <row r="194" spans="1:35" x14ac:dyDescent="0.25">
      <c r="A194" s="48"/>
      <c r="B194" s="48"/>
      <c r="C194" s="48"/>
      <c r="D194" s="119"/>
      <c r="E194" s="119"/>
      <c r="F194" s="119"/>
      <c r="G194" s="119"/>
      <c r="H194" s="119"/>
      <c r="I194" s="119"/>
      <c r="J194" s="119"/>
      <c r="K194" s="119"/>
      <c r="L194" s="119"/>
      <c r="M194" s="49"/>
      <c r="N194" s="49"/>
      <c r="O194" s="49"/>
      <c r="P194" s="49"/>
    </row>
    <row r="195" spans="1:35" x14ac:dyDescent="0.25">
      <c r="A195" s="48"/>
      <c r="B195" s="48"/>
      <c r="C195" s="48"/>
      <c r="D195" s="119"/>
      <c r="E195" s="119"/>
      <c r="F195" s="119"/>
      <c r="G195" s="119"/>
      <c r="H195" s="119"/>
      <c r="I195" s="119"/>
      <c r="J195" s="119"/>
      <c r="K195" s="119"/>
      <c r="L195" s="119"/>
      <c r="M195" s="49"/>
      <c r="N195" s="49"/>
      <c r="O195" s="49"/>
      <c r="P195" s="49"/>
      <c r="AH195" t="str">
        <f>[1]UnosPod!P6</f>
        <v>2012.</v>
      </c>
      <c r="AI195">
        <f>[1]UnosPod!U1-1</f>
        <v>2011</v>
      </c>
    </row>
    <row r="196" spans="1:35" x14ac:dyDescent="0.25">
      <c r="A196" s="48"/>
      <c r="B196" s="48"/>
      <c r="C196" s="48"/>
      <c r="D196" s="119"/>
      <c r="E196" s="119"/>
      <c r="F196" s="119"/>
      <c r="G196" s="119"/>
      <c r="H196" s="119"/>
      <c r="I196" s="119"/>
      <c r="J196" s="119"/>
      <c r="K196" s="119"/>
      <c r="L196" s="119"/>
      <c r="M196" s="49"/>
      <c r="N196" s="49"/>
      <c r="O196" s="49"/>
      <c r="P196" s="49"/>
      <c r="AG196" t="s">
        <v>61</v>
      </c>
      <c r="AH196" s="142">
        <f>R100</f>
        <v>377776.29</v>
      </c>
      <c r="AI196" s="142">
        <f>AD100</f>
        <v>468733</v>
      </c>
    </row>
    <row r="197" spans="1:35" x14ac:dyDescent="0.25">
      <c r="A197" s="48"/>
      <c r="B197" s="48"/>
      <c r="C197" s="48"/>
      <c r="D197" s="119"/>
      <c r="E197" s="119"/>
      <c r="F197" s="119"/>
      <c r="G197" s="119"/>
      <c r="H197" s="119"/>
      <c r="I197" s="119"/>
      <c r="J197" s="119"/>
      <c r="K197" s="119"/>
      <c r="L197" s="119"/>
      <c r="M197" s="49"/>
      <c r="N197" s="49"/>
      <c r="O197" s="49"/>
      <c r="P197" s="49"/>
      <c r="AG197" t="s">
        <v>62</v>
      </c>
      <c r="AH197" s="142">
        <f>R143</f>
        <v>267689</v>
      </c>
      <c r="AI197" s="142">
        <f>AD143</f>
        <v>270591</v>
      </c>
    </row>
    <row r="198" spans="1:35" x14ac:dyDescent="0.25">
      <c r="A198" s="48"/>
      <c r="B198" s="48"/>
      <c r="C198" s="48"/>
      <c r="D198" s="119"/>
      <c r="E198" s="119"/>
      <c r="F198" s="119"/>
      <c r="G198" s="119"/>
      <c r="H198" s="119"/>
      <c r="I198" s="119"/>
      <c r="J198" s="119"/>
      <c r="K198" s="119"/>
      <c r="L198" s="119"/>
      <c r="M198" s="49"/>
      <c r="N198" s="49"/>
      <c r="O198" s="49"/>
      <c r="P198" s="49"/>
      <c r="AG198" t="s">
        <v>63</v>
      </c>
      <c r="AH198" s="142">
        <f>AH196-AH197</f>
        <v>110087.28999999998</v>
      </c>
      <c r="AI198" s="142">
        <f>AI196-AI197</f>
        <v>198142</v>
      </c>
    </row>
    <row r="199" spans="1:35" x14ac:dyDescent="0.25">
      <c r="A199" s="48"/>
      <c r="B199" s="48"/>
      <c r="C199" s="48"/>
      <c r="D199" s="119"/>
      <c r="E199" s="119"/>
      <c r="F199" s="119"/>
      <c r="G199" s="119"/>
      <c r="H199" s="119"/>
      <c r="I199" s="119"/>
      <c r="J199" s="119"/>
      <c r="K199" s="119"/>
      <c r="L199" s="119"/>
      <c r="M199" s="49"/>
      <c r="N199" s="49"/>
      <c r="O199" s="49"/>
      <c r="P199" s="49"/>
    </row>
    <row r="200" spans="1:35" x14ac:dyDescent="0.25">
      <c r="A200" s="48"/>
      <c r="B200" s="48"/>
      <c r="C200" s="48"/>
      <c r="D200" s="119"/>
      <c r="E200" s="119"/>
      <c r="F200" s="119"/>
      <c r="G200" s="119"/>
      <c r="H200" s="119"/>
      <c r="I200" s="119"/>
      <c r="J200" s="119"/>
      <c r="K200" s="119"/>
      <c r="L200" s="119"/>
      <c r="M200" s="49"/>
      <c r="N200" s="49"/>
      <c r="O200" s="49"/>
      <c r="P200" s="49"/>
    </row>
    <row r="201" spans="1:35" x14ac:dyDescent="0.25">
      <c r="A201" s="48"/>
      <c r="B201" s="48"/>
      <c r="C201" s="48"/>
      <c r="D201" s="119"/>
      <c r="E201" s="119"/>
      <c r="F201" s="119"/>
      <c r="G201" s="119"/>
      <c r="H201" s="119"/>
      <c r="I201" s="119"/>
      <c r="J201" s="119"/>
      <c r="K201" s="119"/>
      <c r="L201" s="119"/>
      <c r="M201" s="49"/>
      <c r="N201" s="49"/>
      <c r="O201" s="49"/>
      <c r="P201" s="49"/>
    </row>
    <row r="202" spans="1:35" x14ac:dyDescent="0.25">
      <c r="A202" s="48"/>
      <c r="B202" s="48"/>
      <c r="C202" s="48"/>
      <c r="D202" s="119"/>
      <c r="E202" s="119"/>
      <c r="F202" s="119"/>
      <c r="G202" s="119"/>
      <c r="H202" s="119"/>
      <c r="I202" s="119"/>
      <c r="J202" s="119"/>
      <c r="K202" s="119"/>
      <c r="L202" s="119"/>
      <c r="M202" s="49"/>
      <c r="N202" s="49"/>
      <c r="O202" s="49"/>
      <c r="P202" s="49"/>
    </row>
    <row r="203" spans="1:35" x14ac:dyDescent="0.25">
      <c r="A203" s="48"/>
      <c r="B203" s="48"/>
      <c r="C203" s="48"/>
      <c r="D203" s="119"/>
      <c r="E203" s="119"/>
      <c r="F203" s="119"/>
      <c r="G203" s="119"/>
      <c r="H203" s="119"/>
      <c r="I203" s="119"/>
      <c r="J203" s="119"/>
      <c r="K203" s="119"/>
      <c r="L203" s="119"/>
      <c r="M203" s="49"/>
      <c r="N203" s="49"/>
      <c r="O203" s="49"/>
      <c r="P203" s="49"/>
    </row>
    <row r="204" spans="1:35" x14ac:dyDescent="0.25">
      <c r="A204" s="48"/>
      <c r="B204" s="48"/>
      <c r="C204" s="48"/>
      <c r="D204" s="119"/>
      <c r="E204" s="119"/>
      <c r="F204" s="119"/>
      <c r="G204" s="119"/>
      <c r="H204" s="119"/>
      <c r="I204" s="119"/>
      <c r="J204" s="119"/>
      <c r="K204" s="119"/>
      <c r="L204" s="119"/>
      <c r="M204" s="49"/>
      <c r="N204" s="49"/>
      <c r="O204" s="49"/>
      <c r="P204" s="49"/>
    </row>
    <row r="205" spans="1:35" x14ac:dyDescent="0.25">
      <c r="A205" s="48"/>
      <c r="B205" s="48"/>
      <c r="C205" s="48"/>
      <c r="D205" s="119"/>
      <c r="E205" s="119"/>
      <c r="F205" s="119"/>
      <c r="G205" s="119"/>
      <c r="H205" s="119"/>
      <c r="I205" s="119"/>
      <c r="J205" s="119"/>
      <c r="K205" s="119"/>
      <c r="L205" s="119"/>
      <c r="M205" s="49"/>
      <c r="N205" s="49"/>
      <c r="O205" s="49"/>
      <c r="P205" s="49"/>
    </row>
    <row r="206" spans="1:35" x14ac:dyDescent="0.25">
      <c r="A206" s="48"/>
      <c r="B206" s="48"/>
      <c r="C206" s="48"/>
      <c r="D206" s="119"/>
      <c r="E206" s="119"/>
      <c r="F206" s="119"/>
      <c r="G206" s="119"/>
      <c r="H206" s="119"/>
      <c r="I206" s="119"/>
      <c r="J206" s="119"/>
      <c r="K206" s="119"/>
      <c r="L206" s="119"/>
      <c r="M206" s="49"/>
      <c r="N206" s="49"/>
      <c r="O206" s="49"/>
      <c r="P206" s="49"/>
    </row>
    <row r="207" spans="1:35" x14ac:dyDescent="0.25">
      <c r="A207" s="48"/>
      <c r="B207" s="48"/>
      <c r="C207" s="48"/>
      <c r="D207" s="119"/>
      <c r="E207" s="119"/>
      <c r="F207" s="119"/>
      <c r="G207" s="119"/>
      <c r="H207" s="119"/>
      <c r="I207" s="119"/>
      <c r="J207" s="119"/>
      <c r="K207" s="119"/>
      <c r="L207" s="119"/>
      <c r="M207" s="49"/>
      <c r="N207" s="49"/>
      <c r="O207" s="49"/>
      <c r="P207" s="49"/>
    </row>
    <row r="208" spans="1:35" x14ac:dyDescent="0.25">
      <c r="A208" s="48"/>
      <c r="B208" s="48"/>
      <c r="C208" s="48"/>
      <c r="D208" s="119"/>
      <c r="E208" s="119"/>
      <c r="F208" s="119"/>
      <c r="G208" s="119"/>
      <c r="H208" s="119"/>
      <c r="I208" s="119"/>
      <c r="J208" s="119"/>
      <c r="K208" s="119"/>
      <c r="L208" s="119"/>
      <c r="M208" s="49"/>
      <c r="N208" s="49"/>
      <c r="O208" s="49"/>
      <c r="P208" s="49"/>
    </row>
    <row r="209" spans="1:16" x14ac:dyDescent="0.25">
      <c r="A209" s="48"/>
      <c r="B209" s="48"/>
      <c r="C209" s="48"/>
      <c r="D209" s="119"/>
      <c r="E209" s="119"/>
      <c r="F209" s="119"/>
      <c r="G209" s="119"/>
      <c r="H209" s="119"/>
      <c r="I209" s="119"/>
      <c r="J209" s="119"/>
      <c r="K209" s="119"/>
      <c r="L209" s="119"/>
      <c r="M209" s="49"/>
      <c r="N209" s="49"/>
      <c r="O209" s="49"/>
      <c r="P209" s="49"/>
    </row>
    <row r="210" spans="1:16" x14ac:dyDescent="0.25">
      <c r="A210" s="48"/>
      <c r="B210" s="48"/>
      <c r="C210" s="48"/>
      <c r="D210" s="119"/>
      <c r="E210" s="119"/>
      <c r="F210" s="119"/>
      <c r="G210" s="119"/>
      <c r="H210" s="119"/>
      <c r="I210" s="119"/>
      <c r="J210" s="119"/>
      <c r="K210" s="119"/>
      <c r="L210" s="119"/>
      <c r="M210" s="49"/>
      <c r="N210" s="49"/>
      <c r="O210" s="49"/>
      <c r="P210" s="49"/>
    </row>
    <row r="211" spans="1:16" x14ac:dyDescent="0.25">
      <c r="A211" s="48"/>
      <c r="B211" s="48"/>
      <c r="C211" s="48"/>
      <c r="D211" s="119"/>
      <c r="E211" s="119"/>
      <c r="F211" s="119"/>
      <c r="G211" s="119"/>
      <c r="H211" s="119"/>
      <c r="I211" s="119"/>
      <c r="J211" s="119"/>
      <c r="K211" s="119"/>
      <c r="L211" s="119"/>
      <c r="M211" s="49"/>
      <c r="N211" s="49"/>
      <c r="O211" s="49"/>
      <c r="P211" s="49"/>
    </row>
    <row r="212" spans="1:16" x14ac:dyDescent="0.25">
      <c r="A212" s="48"/>
      <c r="B212" s="48"/>
      <c r="C212" s="48"/>
      <c r="D212" s="119"/>
      <c r="E212" s="119"/>
      <c r="F212" s="119"/>
      <c r="G212" s="119"/>
      <c r="H212" s="119"/>
      <c r="I212" s="119"/>
      <c r="J212" s="119"/>
      <c r="K212" s="119"/>
      <c r="L212" s="119"/>
      <c r="M212" s="49"/>
      <c r="N212" s="49"/>
      <c r="O212" s="49"/>
      <c r="P212" s="49"/>
    </row>
    <row r="213" spans="1:16" x14ac:dyDescent="0.25">
      <c r="A213" s="48"/>
      <c r="B213" s="48"/>
      <c r="C213" s="48"/>
      <c r="D213" s="119"/>
      <c r="E213" s="119"/>
      <c r="F213" s="119"/>
      <c r="G213" s="119"/>
      <c r="H213" s="119"/>
      <c r="I213" s="119"/>
      <c r="J213" s="119"/>
      <c r="K213" s="119"/>
      <c r="L213" s="119"/>
      <c r="M213" s="49"/>
      <c r="N213" s="49"/>
      <c r="O213" s="49"/>
      <c r="P213" s="49"/>
    </row>
    <row r="214" spans="1:16" x14ac:dyDescent="0.25">
      <c r="A214" s="48"/>
      <c r="B214" s="48"/>
      <c r="C214" s="48"/>
      <c r="D214" s="119"/>
      <c r="E214" s="119"/>
      <c r="F214" s="119"/>
      <c r="G214" s="119"/>
      <c r="H214" s="119"/>
      <c r="I214" s="119"/>
      <c r="J214" s="119"/>
      <c r="K214" s="119"/>
      <c r="L214" s="119"/>
      <c r="M214" s="49"/>
      <c r="N214" s="49"/>
      <c r="O214" s="49"/>
      <c r="P214" s="49"/>
    </row>
    <row r="215" spans="1:16" x14ac:dyDescent="0.25">
      <c r="A215" s="48"/>
      <c r="B215" s="48"/>
      <c r="C215" s="48"/>
      <c r="D215" s="119"/>
      <c r="E215" s="119"/>
      <c r="F215" s="119"/>
      <c r="G215" s="119"/>
      <c r="H215" s="119"/>
      <c r="I215" s="119"/>
      <c r="J215" s="119"/>
      <c r="K215" s="119"/>
      <c r="L215" s="119"/>
      <c r="M215" s="49"/>
      <c r="N215" s="49"/>
      <c r="O215" s="49"/>
      <c r="P215" s="49"/>
    </row>
    <row r="216" spans="1:16" x14ac:dyDescent="0.25">
      <c r="A216" s="48"/>
      <c r="B216" s="48"/>
      <c r="C216" s="48"/>
      <c r="D216" s="119"/>
      <c r="E216" s="119"/>
      <c r="F216" s="119"/>
      <c r="G216" s="119"/>
      <c r="H216" s="119"/>
      <c r="I216" s="119"/>
      <c r="J216" s="119"/>
      <c r="K216" s="119"/>
      <c r="L216" s="119"/>
      <c r="M216" s="49"/>
      <c r="N216" s="49"/>
      <c r="O216" s="49"/>
      <c r="P216" s="49"/>
    </row>
    <row r="217" spans="1:16" x14ac:dyDescent="0.25">
      <c r="A217" s="48"/>
      <c r="B217" s="48"/>
      <c r="C217" s="48"/>
      <c r="D217" s="119"/>
      <c r="E217" s="119"/>
      <c r="F217" s="119"/>
      <c r="G217" s="119"/>
      <c r="H217" s="119"/>
      <c r="I217" s="119"/>
      <c r="J217" s="119"/>
      <c r="K217" s="119"/>
      <c r="L217" s="119"/>
      <c r="M217" s="49"/>
      <c r="N217" s="49"/>
      <c r="O217" s="49"/>
      <c r="P217" s="49"/>
    </row>
    <row r="218" spans="1:16" x14ac:dyDescent="0.25">
      <c r="A218" s="48"/>
      <c r="B218" s="48"/>
      <c r="C218" s="48"/>
      <c r="D218" s="119"/>
      <c r="E218" s="119"/>
      <c r="F218" s="119"/>
      <c r="G218" s="119"/>
      <c r="H218" s="119"/>
      <c r="I218" s="119"/>
      <c r="J218" s="119"/>
      <c r="K218" s="119"/>
      <c r="L218" s="119"/>
      <c r="M218" s="49"/>
      <c r="N218" s="49"/>
      <c r="O218" s="49"/>
      <c r="P218" s="49"/>
    </row>
    <row r="219" spans="1:16" x14ac:dyDescent="0.25">
      <c r="A219" s="48"/>
      <c r="B219" s="48"/>
      <c r="C219" s="48"/>
      <c r="D219" s="119"/>
      <c r="E219" s="119"/>
      <c r="F219" s="119"/>
      <c r="G219" s="119"/>
      <c r="H219" s="119"/>
      <c r="I219" s="119"/>
      <c r="J219" s="119"/>
      <c r="K219" s="119"/>
      <c r="L219" s="119"/>
      <c r="M219" s="49"/>
      <c r="N219" s="49"/>
      <c r="O219" s="49"/>
      <c r="P219" s="49"/>
    </row>
    <row r="220" spans="1:16" x14ac:dyDescent="0.25">
      <c r="A220" s="48"/>
      <c r="B220" s="48"/>
      <c r="C220" s="48"/>
      <c r="D220" s="119"/>
      <c r="E220" s="119"/>
      <c r="F220" s="119"/>
      <c r="G220" s="119"/>
      <c r="H220" s="119"/>
      <c r="I220" s="119"/>
      <c r="J220" s="119"/>
      <c r="K220" s="119"/>
      <c r="L220" s="119"/>
      <c r="M220" s="49"/>
      <c r="N220" s="49"/>
      <c r="O220" s="49"/>
      <c r="P220" s="49"/>
    </row>
    <row r="221" spans="1:16" x14ac:dyDescent="0.25">
      <c r="A221" s="48"/>
      <c r="B221" s="48"/>
      <c r="C221" s="48"/>
      <c r="D221" s="119"/>
      <c r="E221" s="119"/>
      <c r="F221" s="119"/>
      <c r="G221" s="119"/>
      <c r="H221" s="119"/>
      <c r="I221" s="119"/>
      <c r="J221" s="119"/>
      <c r="K221" s="119"/>
      <c r="L221" s="119"/>
      <c r="M221" s="49"/>
      <c r="N221" s="49"/>
      <c r="O221" s="49"/>
      <c r="P221" s="49"/>
    </row>
    <row r="222" spans="1:16" x14ac:dyDescent="0.25">
      <c r="A222" s="48"/>
      <c r="B222" s="48"/>
      <c r="C222" s="48"/>
      <c r="D222" s="119"/>
      <c r="E222" s="119"/>
      <c r="F222" s="119"/>
      <c r="G222" s="119"/>
      <c r="H222" s="119"/>
      <c r="I222" s="119"/>
      <c r="J222" s="119"/>
      <c r="K222" s="119"/>
      <c r="L222" s="119"/>
      <c r="M222" s="49"/>
      <c r="N222" s="49"/>
      <c r="O222" s="49"/>
      <c r="P222" s="49"/>
    </row>
    <row r="223" spans="1:16" x14ac:dyDescent="0.25">
      <c r="A223" s="48"/>
      <c r="B223" s="48"/>
      <c r="C223" s="48"/>
      <c r="D223" s="119"/>
      <c r="E223" s="119"/>
      <c r="F223" s="119"/>
      <c r="G223" s="119"/>
      <c r="H223" s="119"/>
      <c r="I223" s="119"/>
      <c r="J223" s="119"/>
      <c r="K223" s="119"/>
      <c r="L223" s="119"/>
      <c r="M223" s="49"/>
      <c r="N223" s="49"/>
      <c r="O223" s="49"/>
      <c r="P223" s="49"/>
    </row>
    <row r="224" spans="1:16" x14ac:dyDescent="0.25">
      <c r="A224" s="48"/>
      <c r="B224" s="48"/>
      <c r="C224" s="48"/>
      <c r="D224" s="119"/>
      <c r="E224" s="119"/>
      <c r="F224" s="119"/>
      <c r="G224" s="119"/>
      <c r="H224" s="119"/>
      <c r="I224" s="119"/>
      <c r="J224" s="119"/>
      <c r="K224" s="119"/>
      <c r="L224" s="119"/>
      <c r="M224" s="49"/>
      <c r="N224" s="49"/>
      <c r="O224" s="49"/>
      <c r="P224" s="49"/>
    </row>
    <row r="225" spans="1:46" x14ac:dyDescent="0.25">
      <c r="A225" s="48"/>
      <c r="B225" s="48"/>
      <c r="C225" s="48"/>
      <c r="D225" s="119"/>
      <c r="E225" s="119"/>
      <c r="F225" s="119"/>
      <c r="G225" s="119"/>
      <c r="H225" s="119"/>
      <c r="I225" s="119"/>
      <c r="J225" s="119"/>
      <c r="K225" s="119"/>
      <c r="L225" s="119"/>
      <c r="M225" s="49"/>
      <c r="N225" s="49"/>
      <c r="O225" s="49"/>
      <c r="P225" s="49"/>
    </row>
    <row r="226" spans="1:46" x14ac:dyDescent="0.25">
      <c r="A226" s="48"/>
      <c r="B226" s="48"/>
      <c r="C226" s="48"/>
      <c r="D226" s="119"/>
      <c r="E226" s="119"/>
      <c r="F226" s="119"/>
      <c r="G226" s="119"/>
      <c r="H226" s="119"/>
      <c r="I226" s="119"/>
      <c r="J226" s="119"/>
      <c r="K226" s="119"/>
      <c r="L226" s="119"/>
      <c r="M226" s="49"/>
      <c r="N226" s="49"/>
      <c r="O226" s="49"/>
      <c r="P226" s="49"/>
    </row>
    <row r="227" spans="1:46" x14ac:dyDescent="0.25">
      <c r="A227" s="48"/>
      <c r="B227" s="48"/>
      <c r="C227" s="48"/>
      <c r="D227" s="119"/>
      <c r="E227" s="119"/>
      <c r="F227" s="119"/>
      <c r="G227" s="119"/>
      <c r="H227" s="119"/>
      <c r="I227" s="119"/>
      <c r="J227" s="119"/>
      <c r="K227" s="119"/>
      <c r="L227" s="119"/>
      <c r="M227" s="49"/>
      <c r="N227" s="49"/>
      <c r="O227" s="49"/>
      <c r="P227" s="49"/>
    </row>
    <row r="228" spans="1:46" x14ac:dyDescent="0.25">
      <c r="A228" s="48"/>
      <c r="B228" s="48"/>
      <c r="C228" s="48"/>
      <c r="D228" s="119"/>
      <c r="E228" s="119"/>
      <c r="F228" s="119"/>
      <c r="G228" s="119"/>
      <c r="H228" s="119"/>
      <c r="I228" s="119"/>
      <c r="J228" s="119"/>
      <c r="K228" s="119"/>
      <c r="L228" s="119"/>
      <c r="M228" s="49"/>
      <c r="N228" s="49"/>
      <c r="O228" s="49"/>
      <c r="P228" s="49"/>
    </row>
    <row r="229" spans="1:46" x14ac:dyDescent="0.25">
      <c r="A229" s="48"/>
      <c r="B229" s="48"/>
      <c r="C229" s="48"/>
      <c r="D229" s="119"/>
      <c r="E229" s="119"/>
      <c r="F229" s="119"/>
      <c r="G229" s="119"/>
      <c r="H229" s="119"/>
      <c r="I229" s="119"/>
      <c r="J229" s="119"/>
      <c r="K229" s="119"/>
      <c r="L229" s="119"/>
      <c r="M229" s="49"/>
      <c r="N229" s="49"/>
      <c r="O229" s="49"/>
      <c r="P229" s="49"/>
    </row>
    <row r="230" spans="1:46" x14ac:dyDescent="0.25">
      <c r="A230" s="48"/>
      <c r="B230" s="48"/>
      <c r="C230" s="48"/>
      <c r="D230" s="119"/>
      <c r="E230" s="119"/>
      <c r="F230" s="119"/>
      <c r="G230" s="119"/>
      <c r="H230" s="119"/>
      <c r="I230" s="119"/>
      <c r="J230" s="119"/>
      <c r="K230" s="119"/>
      <c r="L230" s="119"/>
      <c r="M230" s="49"/>
      <c r="N230" s="49"/>
      <c r="O230" s="49"/>
      <c r="P230" s="49"/>
    </row>
    <row r="231" spans="1:46" x14ac:dyDescent="0.25">
      <c r="A231" s="48"/>
      <c r="B231" s="48"/>
      <c r="C231" s="48"/>
      <c r="D231" s="119"/>
      <c r="E231" s="119"/>
      <c r="F231" s="119"/>
      <c r="G231" s="119"/>
      <c r="H231" s="119"/>
      <c r="I231" s="119"/>
      <c r="J231" s="119"/>
      <c r="K231" s="119"/>
      <c r="L231" s="119"/>
      <c r="M231" s="49"/>
      <c r="N231" s="49"/>
      <c r="O231" s="49"/>
      <c r="P231" s="49"/>
    </row>
    <row r="232" spans="1:46" x14ac:dyDescent="0.25">
      <c r="A232" s="48"/>
      <c r="B232" s="48"/>
      <c r="C232" s="48"/>
      <c r="D232" s="119"/>
      <c r="E232" s="119"/>
      <c r="F232" s="119"/>
      <c r="G232" s="119"/>
      <c r="H232" s="119"/>
      <c r="I232" s="119"/>
      <c r="J232" s="119"/>
      <c r="K232" s="119"/>
      <c r="L232" s="119"/>
      <c r="M232" s="49"/>
      <c r="N232" s="49"/>
      <c r="O232" s="49"/>
      <c r="P232" s="49"/>
    </row>
    <row r="233" spans="1:46" x14ac:dyDescent="0.25">
      <c r="A233" s="48"/>
      <c r="B233" s="48"/>
      <c r="C233" s="48"/>
      <c r="D233" s="119"/>
      <c r="E233" s="119"/>
      <c r="F233" s="119"/>
      <c r="G233" s="119"/>
      <c r="H233" s="119"/>
      <c r="I233" s="119"/>
      <c r="J233" s="119"/>
      <c r="K233" s="119"/>
      <c r="L233" s="119"/>
      <c r="M233" s="49"/>
      <c r="N233" s="49"/>
      <c r="O233" s="49"/>
      <c r="P233" s="49"/>
    </row>
    <row r="234" spans="1:46" x14ac:dyDescent="0.25">
      <c r="A234" s="48"/>
      <c r="B234" s="48"/>
      <c r="C234" s="48"/>
      <c r="D234" s="119"/>
      <c r="E234" s="119"/>
      <c r="F234" s="119"/>
      <c r="G234" s="119"/>
      <c r="H234" s="119"/>
      <c r="I234" s="119"/>
      <c r="J234" s="119"/>
      <c r="K234" s="119"/>
      <c r="L234" s="119"/>
      <c r="M234" s="49"/>
      <c r="N234" s="49"/>
      <c r="O234" s="49"/>
      <c r="P234" s="49"/>
    </row>
    <row r="235" spans="1:46" x14ac:dyDescent="0.25">
      <c r="A235" s="48"/>
      <c r="B235" s="48"/>
      <c r="C235" s="48"/>
      <c r="D235" s="119"/>
      <c r="E235" s="119"/>
      <c r="F235" s="119"/>
      <c r="G235" s="119"/>
      <c r="H235" s="119"/>
      <c r="I235" s="119"/>
      <c r="J235" s="119"/>
      <c r="K235" s="119"/>
      <c r="L235" s="119"/>
      <c r="M235" s="49"/>
      <c r="N235" s="49"/>
      <c r="O235" s="49"/>
      <c r="P235" s="49"/>
    </row>
    <row r="236" spans="1:46" x14ac:dyDescent="0.25">
      <c r="A236" s="48"/>
      <c r="B236" s="48"/>
      <c r="C236" s="48"/>
      <c r="D236" s="119"/>
      <c r="E236" s="119"/>
      <c r="F236" s="119"/>
      <c r="G236" s="119"/>
      <c r="H236" s="119"/>
      <c r="I236" s="119"/>
      <c r="J236" s="119"/>
      <c r="K236" s="119"/>
      <c r="L236" s="119"/>
      <c r="M236" s="49"/>
      <c r="N236" s="49"/>
      <c r="O236" s="49"/>
      <c r="P236" s="49"/>
    </row>
    <row r="237" spans="1:46" ht="18" x14ac:dyDescent="0.25">
      <c r="A237" s="42"/>
      <c r="B237" s="43" t="s">
        <v>64</v>
      </c>
      <c r="C237" s="143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6"/>
    </row>
    <row r="238" spans="1:46" x14ac:dyDescent="0.25">
      <c r="A238" s="48"/>
      <c r="B238" s="48"/>
      <c r="C238" s="48"/>
      <c r="D238" s="119"/>
      <c r="E238" s="119"/>
      <c r="F238" s="119"/>
      <c r="G238" s="119"/>
      <c r="H238" s="119"/>
      <c r="I238" s="119"/>
      <c r="J238" s="119"/>
      <c r="K238" s="119"/>
      <c r="L238" s="119"/>
      <c r="M238" s="49"/>
      <c r="N238" s="49"/>
      <c r="O238" s="49"/>
      <c r="P238" s="49"/>
    </row>
    <row r="239" spans="1:46" x14ac:dyDescent="0.25">
      <c r="A239" s="50"/>
      <c r="B239" s="50" t="s">
        <v>65</v>
      </c>
      <c r="D239" s="48"/>
      <c r="E239" s="48"/>
      <c r="F239" s="48"/>
      <c r="G239" s="48"/>
      <c r="H239" s="48"/>
      <c r="I239" s="119"/>
      <c r="J239" s="119"/>
      <c r="K239" s="119"/>
      <c r="L239" s="119"/>
      <c r="M239" s="49"/>
      <c r="N239" s="49"/>
      <c r="O239" s="49"/>
      <c r="P239" s="49"/>
    </row>
    <row r="240" spans="1:46" x14ac:dyDescent="0.25">
      <c r="A240" s="47" t="s">
        <v>66</v>
      </c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</row>
    <row r="241" spans="1:4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</row>
    <row r="242" spans="1:4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</row>
    <row r="243" spans="1:4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</row>
    <row r="244" spans="1:46" x14ac:dyDescent="0.25">
      <c r="A244" s="47" t="s">
        <v>67</v>
      </c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</row>
    <row r="245" spans="1:4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</row>
    <row r="246" spans="1:4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</row>
    <row r="247" spans="1:4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</row>
    <row r="248" spans="1:46" x14ac:dyDescent="0.25">
      <c r="A248" s="48"/>
      <c r="B248" s="48"/>
      <c r="C248" s="144"/>
      <c r="D248" s="48"/>
      <c r="E248" s="48"/>
      <c r="F248" s="48"/>
      <c r="G248" s="48"/>
      <c r="H248" s="48"/>
      <c r="I248" s="119"/>
      <c r="J248" s="119"/>
      <c r="K248" s="119"/>
      <c r="L248" s="119"/>
      <c r="M248" s="49"/>
      <c r="N248" s="49"/>
      <c r="O248" s="49"/>
      <c r="P248" s="49"/>
    </row>
    <row r="249" spans="1:46" x14ac:dyDescent="0.25">
      <c r="A249" s="48" t="str">
        <f>"Nabavna vrijednost raspoloživih stalnih sredstava na dan "&amp;[1]UnosPod!M6&amp;[1]UnosPod!P6&amp;"godine, iznosi: "&amp;ROUND([1]B.Stanja!AD23,0)&amp;" KM,"</f>
        <v>Nabavna vrijednost raspoloživih stalnih sredstava na dan 30.06.2012.godine, iznosi: 2358992 KM,</v>
      </c>
      <c r="C249" s="48"/>
      <c r="D249" s="48"/>
      <c r="E249" s="48"/>
      <c r="F249" s="48"/>
      <c r="G249" s="48"/>
      <c r="H249" s="48"/>
      <c r="I249" s="119"/>
      <c r="J249" s="119"/>
      <c r="K249" s="119"/>
      <c r="L249" s="119"/>
      <c r="M249" s="49"/>
      <c r="N249" s="49"/>
      <c r="O249" s="49"/>
      <c r="P249" s="49"/>
    </row>
    <row r="250" spans="1:46" x14ac:dyDescent="0.25">
      <c r="A250" s="48" t="str">
        <f>"ispravka vrijednosti je: "&amp;ROUND([1]B.Stanja!AK23,0)&amp;" KM, što znači da su ova sredstva amortizovana (otpisana) sa "&amp;ROUND([1]B.Stanja!AK23/[1]B.Stanja!AD23*100,1)&amp;"%,"</f>
        <v>ispravka vrijednosti je: 1017068 KM, što znači da su ova sredstva amortizovana (otpisana) sa 43,1%,</v>
      </c>
      <c r="C250" s="48"/>
      <c r="D250" s="48"/>
      <c r="E250" s="48"/>
      <c r="F250" s="48"/>
      <c r="G250" s="48"/>
      <c r="H250" s="48"/>
      <c r="I250" s="119"/>
      <c r="J250" s="119"/>
      <c r="K250" s="119"/>
      <c r="L250" s="119"/>
      <c r="M250" s="49"/>
      <c r="N250" s="49"/>
      <c r="O250" s="49"/>
      <c r="P250" s="49"/>
    </row>
    <row r="251" spans="1:46" x14ac:dyDescent="0.25">
      <c r="A251" s="48" t="str">
        <f>"odnosno NETO sadašnja vrijednost iznosi: "&amp;[1]B.Stanja!AR23&amp;" KM, što je u odnosu na 31.12."&amp;[1]UnosPod!U1-1&amp;".godine"</f>
        <v>odnosno NETO sadašnja vrijednost iznosi: 1341924 KM, što je u odnosu na 31.12.2011.godine</v>
      </c>
      <c r="B251" s="48"/>
      <c r="C251" s="48"/>
      <c r="D251" s="48"/>
      <c r="E251" s="48"/>
      <c r="F251" s="48"/>
      <c r="G251" s="48"/>
      <c r="H251" s="48"/>
      <c r="I251" s="119"/>
      <c r="J251" s="119"/>
      <c r="K251" s="119"/>
      <c r="L251" s="119"/>
      <c r="M251" s="49"/>
      <c r="N251" s="49"/>
      <c r="O251" s="49"/>
      <c r="P251" s="49"/>
    </row>
    <row r="252" spans="1:46" x14ac:dyDescent="0.25">
      <c r="A252" s="49" t="str">
        <f>AU301&amp;" za "&amp;AU303+AU304&amp;" KM "</f>
        <v xml:space="preserve">POVEĆANJE za 1172 KM </v>
      </c>
      <c r="B252" s="48"/>
      <c r="C252" s="48"/>
      <c r="D252" s="48"/>
      <c r="E252" s="48"/>
      <c r="F252" s="48"/>
      <c r="G252" s="48"/>
      <c r="H252" s="48"/>
      <c r="I252" s="119"/>
      <c r="J252" s="119"/>
      <c r="K252" s="119"/>
      <c r="L252" s="119"/>
      <c r="M252" s="49"/>
      <c r="N252" s="49"/>
      <c r="O252" s="49"/>
      <c r="P252" s="49"/>
    </row>
    <row r="253" spans="1:46" x14ac:dyDescent="0.25">
      <c r="A253" s="48" t="str">
        <f>"Amortizacija za obračunski period "&amp;[1]UnosPod!P6&amp;"godine iznosi: "&amp;[1]UnosPod!F152&amp;" KM"</f>
        <v>Amortizacija za obračunski period 2012.godine iznosi: 24908,17 KM</v>
      </c>
      <c r="B253" s="48"/>
      <c r="C253" s="48"/>
      <c r="D253" s="48"/>
      <c r="E253" s="48"/>
      <c r="F253" s="48"/>
      <c r="G253" s="48"/>
      <c r="H253" s="48"/>
      <c r="I253" s="119"/>
      <c r="J253" s="119"/>
      <c r="K253" s="119"/>
      <c r="L253" s="119"/>
      <c r="M253" s="49"/>
      <c r="N253" s="49"/>
      <c r="O253" s="49"/>
      <c r="P253" s="49"/>
    </row>
    <row r="254" spans="1:46" x14ac:dyDescent="0.25">
      <c r="A254" s="48"/>
      <c r="B254" s="48"/>
      <c r="C254" s="48"/>
      <c r="D254" s="48"/>
      <c r="E254" s="48"/>
      <c r="F254" s="48"/>
      <c r="G254" s="48"/>
      <c r="H254" s="48"/>
      <c r="I254" s="119"/>
      <c r="J254" s="119"/>
      <c r="K254" s="119"/>
      <c r="L254" s="119"/>
      <c r="M254" s="49"/>
      <c r="N254" s="49"/>
      <c r="O254" s="49"/>
      <c r="P254" s="49"/>
    </row>
    <row r="255" spans="1:46" x14ac:dyDescent="0.25">
      <c r="A255" s="48"/>
      <c r="B255" s="145" t="s">
        <v>68</v>
      </c>
      <c r="C255" s="146"/>
      <c r="D255" s="119"/>
      <c r="E255" s="119"/>
      <c r="F255" s="48"/>
      <c r="G255" s="48"/>
      <c r="H255" s="48"/>
      <c r="I255" s="119"/>
      <c r="J255" s="119"/>
      <c r="K255" s="119"/>
      <c r="L255" s="119"/>
      <c r="M255" s="49"/>
      <c r="N255" s="49"/>
      <c r="O255" s="49"/>
      <c r="P255" s="49"/>
    </row>
    <row r="256" spans="1:46" x14ac:dyDescent="0.25">
      <c r="A256" s="48"/>
      <c r="B256" s="48"/>
      <c r="C256" s="48"/>
      <c r="D256" s="48"/>
      <c r="E256" s="48"/>
      <c r="F256" s="48"/>
      <c r="G256" s="48"/>
      <c r="H256" s="48"/>
      <c r="I256" s="119"/>
      <c r="J256" s="119"/>
      <c r="K256" s="119"/>
      <c r="L256" s="119"/>
      <c r="M256" s="49"/>
      <c r="N256" s="49"/>
      <c r="O256" s="49"/>
      <c r="P256" s="49"/>
    </row>
    <row r="257" spans="1:46" x14ac:dyDescent="0.25">
      <c r="A257" s="48"/>
      <c r="B257" s="50" t="s">
        <v>69</v>
      </c>
      <c r="C257" s="50"/>
      <c r="D257" s="48"/>
      <c r="E257" s="48"/>
      <c r="F257" s="48"/>
      <c r="G257" s="48"/>
      <c r="H257" s="48"/>
      <c r="I257" s="119"/>
      <c r="J257" s="119"/>
      <c r="K257" s="119"/>
      <c r="L257" s="119"/>
      <c r="M257" s="49"/>
      <c r="N257" s="49"/>
      <c r="O257" s="49"/>
      <c r="P257" s="49"/>
    </row>
    <row r="258" spans="1:46" x14ac:dyDescent="0.25">
      <c r="A258" s="48" t="s">
        <v>70</v>
      </c>
      <c r="B258" s="48"/>
      <c r="D258" s="48"/>
      <c r="E258" s="48"/>
      <c r="F258" s="48"/>
      <c r="G258" s="48"/>
      <c r="H258" s="48"/>
      <c r="I258" s="119"/>
      <c r="J258" s="119"/>
      <c r="K258" s="119"/>
      <c r="L258" s="119"/>
      <c r="M258" s="49"/>
      <c r="N258" s="49"/>
      <c r="O258" s="49"/>
      <c r="P258" s="49"/>
    </row>
    <row r="259" spans="1:46" x14ac:dyDescent="0.25">
      <c r="A259" s="47" t="s">
        <v>71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</row>
    <row r="260" spans="1:4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</row>
    <row r="261" spans="1:4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</row>
    <row r="262" spans="1:4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</row>
    <row r="263" spans="1:46" x14ac:dyDescent="0.25">
      <c r="A263" s="47" t="s">
        <v>72</v>
      </c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</row>
    <row r="264" spans="1:4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</row>
    <row r="265" spans="1:4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</row>
    <row r="266" spans="1:4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</row>
    <row r="267" spans="1:46" x14ac:dyDescent="0.25">
      <c r="A267" s="48"/>
      <c r="B267" s="48"/>
      <c r="C267" s="48"/>
      <c r="D267" s="48"/>
      <c r="E267" s="48"/>
      <c r="F267" s="48"/>
      <c r="G267" s="48"/>
      <c r="H267" s="48"/>
      <c r="I267" s="119"/>
      <c r="J267" s="119"/>
      <c r="K267" s="119"/>
      <c r="L267" s="119"/>
      <c r="M267" s="49"/>
      <c r="N267" s="49"/>
      <c r="O267" s="49"/>
      <c r="P267" s="49"/>
    </row>
    <row r="268" spans="1:46" x14ac:dyDescent="0.25">
      <c r="A268" s="48" t="s">
        <v>73</v>
      </c>
      <c r="B268" s="147"/>
      <c r="C268" s="147"/>
      <c r="D268" s="147"/>
      <c r="E268" s="147"/>
      <c r="F268" s="147"/>
      <c r="G268" s="147"/>
      <c r="H268" s="147"/>
      <c r="I268" s="148"/>
      <c r="J268" s="148"/>
      <c r="K268" s="148"/>
      <c r="L268" s="148"/>
      <c r="M268" s="147"/>
      <c r="N268" s="147"/>
      <c r="O268" s="147"/>
      <c r="P268" s="147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</row>
    <row r="269" spans="1:46" x14ac:dyDescent="0.25">
      <c r="B269" s="147"/>
      <c r="C269" s="147"/>
      <c r="D269" s="147"/>
      <c r="E269" s="147"/>
      <c r="F269" s="147"/>
      <c r="G269" s="147"/>
      <c r="H269" s="147"/>
      <c r="I269" s="148"/>
      <c r="J269" s="148"/>
      <c r="K269" s="148"/>
      <c r="L269" s="148"/>
      <c r="M269" s="147"/>
      <c r="N269" s="147"/>
      <c r="O269" s="147"/>
      <c r="P269" s="48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</row>
    <row r="270" spans="1:46" x14ac:dyDescent="0.25">
      <c r="A270" s="48"/>
      <c r="B270" s="48"/>
      <c r="C270" s="48"/>
      <c r="D270" s="48"/>
      <c r="E270" s="48"/>
      <c r="F270" s="48"/>
      <c r="G270" s="48"/>
      <c r="H270" s="48"/>
      <c r="I270" s="119"/>
      <c r="J270" s="119"/>
      <c r="K270" s="119"/>
      <c r="L270" s="119"/>
      <c r="M270" s="49"/>
      <c r="N270" s="49"/>
      <c r="O270" s="49"/>
      <c r="P270" s="49"/>
    </row>
    <row r="271" spans="1:46" x14ac:dyDescent="0.25">
      <c r="A271" s="48"/>
      <c r="B271" s="48"/>
      <c r="C271" s="48"/>
      <c r="D271" s="48"/>
      <c r="E271" s="48"/>
      <c r="F271" s="48"/>
      <c r="G271" s="48"/>
      <c r="H271" s="48"/>
      <c r="I271" s="119"/>
      <c r="J271" s="119"/>
      <c r="K271" s="119"/>
      <c r="L271" s="119"/>
      <c r="M271" s="49"/>
      <c r="N271" s="49"/>
      <c r="O271" s="49"/>
      <c r="P271" s="49"/>
    </row>
    <row r="272" spans="1:46" x14ac:dyDescent="0.25">
      <c r="A272" s="50"/>
      <c r="B272" s="50" t="s">
        <v>74</v>
      </c>
      <c r="C272" s="48"/>
      <c r="D272" s="48"/>
      <c r="E272" s="48"/>
      <c r="F272" s="48"/>
      <c r="G272" s="48"/>
      <c r="H272" s="48"/>
      <c r="I272" s="119"/>
      <c r="J272" s="119"/>
      <c r="K272" s="119"/>
      <c r="L272" s="119"/>
      <c r="M272" s="49"/>
      <c r="N272" s="49"/>
      <c r="O272" s="49"/>
      <c r="P272" s="49"/>
    </row>
    <row r="273" spans="1:46" x14ac:dyDescent="0.25">
      <c r="A273" s="48"/>
      <c r="B273" s="48"/>
      <c r="C273" s="48"/>
      <c r="D273" s="48"/>
      <c r="E273" s="48"/>
      <c r="F273" s="48"/>
      <c r="G273" s="48"/>
      <c r="H273" s="48"/>
      <c r="I273" s="119"/>
      <c r="J273" s="119"/>
      <c r="K273" s="119"/>
      <c r="L273" s="119"/>
      <c r="M273" s="49"/>
      <c r="N273" s="49"/>
      <c r="O273" s="49"/>
      <c r="P273" s="49"/>
    </row>
    <row r="274" spans="1:46" x14ac:dyDescent="0.25">
      <c r="A274" s="48" t="str">
        <f>IF(R308+R310+R309=0,"Na dan "&amp;[1]UnosPod!M6&amp;[1]UnosPod!P6&amp;"godine nije bilo kratkotočnih potraživanja i plasmana.","Kratkoročna potraživanja i plasmani na dan "&amp;[1]UnosPod!M6&amp;[1]UnosPod!P6&amp;"godine  iznose: "&amp;ROUND(R308+R309,0)&amp;" KM, na početku godine")</f>
        <v>Kratkoročna potraživanja i plasmani na dan 30.06.2012.godine  iznose: 838522 KM, na početku godine</v>
      </c>
      <c r="B274" s="48"/>
      <c r="C274" s="48"/>
      <c r="D274" s="48"/>
      <c r="E274" s="48"/>
      <c r="F274" s="48"/>
      <c r="G274" s="48"/>
      <c r="H274" s="48"/>
      <c r="I274" s="119"/>
      <c r="J274" s="119"/>
      <c r="K274" s="119"/>
      <c r="L274" s="119"/>
      <c r="M274" s="49"/>
      <c r="N274" s="49"/>
      <c r="O274" s="49"/>
      <c r="P274" s="49"/>
    </row>
    <row r="275" spans="1:46" x14ac:dyDescent="0.25">
      <c r="A275" s="48" t="str">
        <f>IF(R308+R310+R309=0," ","u ovom obliku bilo je angažirano "&amp;ROUND([1]Zabljeske!AD308+[1]Zabljeske!AD310+[1]Zabljeske!AD309,0)&amp;" KM tekućih (obrtnih) sredstava.")</f>
        <v>u ovom obliku bilo je angažirano 471603 KM tekućih (obrtnih) sredstava.</v>
      </c>
      <c r="B275" s="48"/>
      <c r="C275" s="48"/>
      <c r="D275" s="48"/>
      <c r="E275" s="48"/>
      <c r="F275" s="48"/>
      <c r="G275" s="48"/>
      <c r="H275" s="48"/>
      <c r="I275" s="119"/>
      <c r="J275" s="119"/>
      <c r="K275" s="119"/>
      <c r="L275" s="119"/>
      <c r="M275" s="49"/>
      <c r="N275" s="49"/>
      <c r="O275" s="49"/>
      <c r="P275" s="49"/>
    </row>
    <row r="276" spans="1:46" x14ac:dyDescent="0.25">
      <c r="A276" s="48"/>
      <c r="B276" s="48"/>
      <c r="C276" s="48"/>
      <c r="D276" s="48"/>
      <c r="E276" s="48"/>
      <c r="F276" s="48"/>
      <c r="G276" s="48"/>
      <c r="H276" s="48"/>
      <c r="I276" s="119"/>
      <c r="J276" s="119"/>
      <c r="K276" s="119"/>
      <c r="L276" s="119"/>
      <c r="M276" s="49"/>
      <c r="N276" s="49"/>
      <c r="O276" s="49"/>
      <c r="P276" s="49"/>
    </row>
    <row r="277" spans="1:46" x14ac:dyDescent="0.25">
      <c r="A277" s="48"/>
      <c r="B277" s="48"/>
      <c r="C277" s="48"/>
      <c r="D277" s="48"/>
      <c r="E277" s="48"/>
      <c r="F277" s="48"/>
      <c r="G277" s="48"/>
      <c r="H277" s="48"/>
      <c r="I277" s="119"/>
      <c r="J277" s="119"/>
      <c r="K277" s="119"/>
      <c r="L277" s="119"/>
      <c r="M277" s="49"/>
      <c r="N277" s="49"/>
      <c r="O277" s="49"/>
      <c r="P277" s="49"/>
    </row>
    <row r="278" spans="1:46" x14ac:dyDescent="0.25">
      <c r="A278" s="50"/>
      <c r="B278" s="50" t="s">
        <v>75</v>
      </c>
      <c r="D278" s="48"/>
      <c r="E278" s="48"/>
      <c r="F278" s="48"/>
      <c r="G278" s="48"/>
      <c r="H278" s="48"/>
      <c r="I278" s="48"/>
      <c r="J278" s="48"/>
      <c r="K278" s="48"/>
      <c r="L278" s="48"/>
      <c r="M278" s="49"/>
      <c r="N278" s="49"/>
      <c r="O278" s="49"/>
      <c r="P278" s="49"/>
    </row>
    <row r="279" spans="1:46" x14ac:dyDescent="0.25">
      <c r="A279" s="47" t="str">
        <f>"Iskazani iznos gotovine i ekvivalenata gotovine u bilansu stanja na dan "&amp;[1]UnosPod!M6&amp;[1]UnosPod!P6&amp;"godine, u iznosu: "&amp;ROUND(R311,0)&amp;" KM sastoji se od gotovine u blagajni, na transakcijskom-računu i od kratkoročnih depozita u poslovnoj banci. "</f>
        <v xml:space="preserve">Iskazani iznos gotovine i ekvivalenata gotovine u bilansu stanja na dan 30.06.2012.godine, u iznosu: 324891 KM sastoji se od gotovine u blagajni, na transakcijskom-računu i od kratkoročnih depozita u poslovnoj banci. </v>
      </c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</row>
    <row r="280" spans="1:4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</row>
    <row r="281" spans="1:4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</row>
    <row r="282" spans="1:4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</row>
    <row r="283" spans="1:46" x14ac:dyDescent="0.25">
      <c r="A283" s="150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</row>
    <row r="284" spans="1:46" x14ac:dyDescent="0.25">
      <c r="A284" s="50"/>
      <c r="B284" s="50" t="s">
        <v>76</v>
      </c>
      <c r="D284" s="48"/>
      <c r="E284" s="48"/>
      <c r="F284" s="48"/>
      <c r="G284" s="48"/>
      <c r="H284" s="48"/>
      <c r="I284" s="48"/>
      <c r="J284" s="48"/>
      <c r="K284" s="48"/>
      <c r="L284" s="48"/>
      <c r="M284" s="49"/>
      <c r="N284" s="49"/>
      <c r="O284" s="49"/>
      <c r="P284" s="49"/>
    </row>
    <row r="285" spans="1:46" x14ac:dyDescent="0.25">
      <c r="A285" s="50"/>
      <c r="B285" s="48"/>
      <c r="C285" s="50"/>
      <c r="D285" s="48"/>
      <c r="E285" s="48"/>
      <c r="F285" s="48"/>
      <c r="G285" s="48"/>
      <c r="H285" s="48"/>
      <c r="I285" s="48"/>
      <c r="J285" s="48"/>
      <c r="K285" s="48"/>
      <c r="L285" s="48"/>
      <c r="M285" s="49"/>
      <c r="N285" s="49"/>
      <c r="O285" s="49"/>
      <c r="P285" s="49"/>
    </row>
    <row r="286" spans="1:46" x14ac:dyDescent="0.25">
      <c r="A286" s="48" t="s">
        <v>77</v>
      </c>
      <c r="B286" s="48"/>
      <c r="D286" s="48"/>
      <c r="E286" s="48"/>
      <c r="F286" s="48"/>
      <c r="G286" s="48"/>
      <c r="H286" s="48"/>
      <c r="I286" s="48"/>
      <c r="J286" s="48"/>
      <c r="K286" s="48"/>
      <c r="L286" s="48"/>
      <c r="M286" s="49"/>
      <c r="N286" s="49"/>
      <c r="O286" s="49"/>
      <c r="P286" s="49"/>
    </row>
    <row r="287" spans="1:46" x14ac:dyDescent="0.25">
      <c r="A287" s="48" t="s">
        <v>78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9"/>
      <c r="N287" s="49"/>
      <c r="O287" s="49"/>
      <c r="P287" s="49"/>
    </row>
    <row r="288" spans="1:46" x14ac:dyDescent="0.25">
      <c r="A288" s="48" t="str">
        <f>"Na dan "&amp;[1]UnosPod!M6&amp;[1]UnosPod!P6&amp;"godine"</f>
        <v>Na dan 30.06.2012.godine</v>
      </c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9"/>
      <c r="N288" s="49"/>
      <c r="O288" s="49"/>
      <c r="P288" s="49"/>
    </row>
    <row r="289" spans="1:51" x14ac:dyDescent="0.25">
      <c r="A289" s="48"/>
      <c r="B289" s="48"/>
      <c r="C289" s="48"/>
      <c r="D289" s="48"/>
      <c r="E289" s="48"/>
      <c r="F289" s="48"/>
      <c r="G289" s="48"/>
      <c r="H289" s="48" t="str">
        <f>IF([1]B.Stanja!AR59=0," - nije bilo dugoročnih razgraničenja"," - dugoročna razgraničenja iznose: "&amp;ROUND([1]B.Stanja!AR61,0)&amp;" KM, ")</f>
        <v xml:space="preserve"> - nije bilo dugoročnih razgraničenja</v>
      </c>
      <c r="I289" s="48"/>
      <c r="J289" s="48"/>
      <c r="K289" s="48"/>
      <c r="L289" s="48"/>
      <c r="M289" s="49"/>
      <c r="N289" s="49"/>
      <c r="O289" s="49"/>
      <c r="P289" s="49"/>
    </row>
    <row r="290" spans="1:51" x14ac:dyDescent="0.25">
      <c r="A290" s="48"/>
      <c r="B290" s="48"/>
      <c r="C290" s="48"/>
      <c r="D290" s="48"/>
      <c r="E290" s="48"/>
      <c r="F290" s="48"/>
      <c r="G290" s="48"/>
      <c r="H290" s="152" t="str">
        <f>IF([1]B.Stanja!AR89=0," - nije bilo kratkoročnih razgraničenja"," - kratkoročna razgraničenja iznose: "&amp;ROUND([1]B.Stanja!AR89,0)&amp;" KM, ")</f>
        <v xml:space="preserve"> - kratkoročna razgraničenja iznose: 58721 KM, </v>
      </c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</row>
    <row r="291" spans="1:51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9"/>
      <c r="N291" s="49"/>
      <c r="O291" s="49"/>
      <c r="P291" s="49"/>
    </row>
    <row r="292" spans="1:51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9"/>
      <c r="N292" s="49"/>
      <c r="O292" s="49"/>
      <c r="P292" s="49"/>
    </row>
    <row r="293" spans="1:51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9"/>
      <c r="N293" s="49"/>
      <c r="O293" s="49"/>
      <c r="P293" s="49"/>
    </row>
    <row r="294" spans="1:51" ht="15.75" x14ac:dyDescent="0.25">
      <c r="A294" s="52"/>
      <c r="B294" s="52"/>
      <c r="C294" s="52"/>
      <c r="D294" s="53"/>
      <c r="E294" s="53"/>
      <c r="F294" s="53"/>
      <c r="G294" s="53"/>
      <c r="H294" s="53"/>
      <c r="I294" s="53"/>
      <c r="J294" s="53"/>
      <c r="K294" s="53"/>
      <c r="L294" s="53"/>
    </row>
    <row r="295" spans="1:51" x14ac:dyDescent="0.25">
      <c r="A295" s="50"/>
      <c r="B295" s="50" t="str">
        <f>" - Analiza struktura sredstava i izvora sredstava na dan "&amp;[1]UnosPod!M6&amp;[1]UnosPod!P6&amp;"godine"</f>
        <v xml:space="preserve"> - Analiza struktura sredstava i izvora sredstava na dan 30.06.2012.godine</v>
      </c>
      <c r="C295" s="50"/>
    </row>
    <row r="296" spans="1:51" ht="15.75" x14ac:dyDescent="0.25">
      <c r="A296" s="153"/>
    </row>
    <row r="297" spans="1:51" ht="15.75" x14ac:dyDescent="0.25">
      <c r="A297" s="52"/>
      <c r="B297" s="48" t="str">
        <f>"Pregled raspoloživih sredstava u aktivi na dan "&amp;[1]UnosPod!M6&amp;[1]UnosPod!P6&amp;" i 31.12."&amp;[1]UnosPod!U1-1&amp;". godine."</f>
        <v>Pregled raspoloživih sredstava u aktivi na dan 30.06.2012. i 31.12.2011. godine.</v>
      </c>
      <c r="C297" s="52"/>
      <c r="D297" s="53"/>
      <c r="E297" s="53"/>
      <c r="F297" s="53"/>
      <c r="G297" s="53"/>
      <c r="H297" s="53"/>
      <c r="I297" s="53"/>
      <c r="J297" s="53"/>
      <c r="K297" s="53"/>
      <c r="L297" s="53"/>
    </row>
    <row r="298" spans="1:51" ht="18" customHeight="1" x14ac:dyDescent="0.25">
      <c r="A298" s="54" t="s">
        <v>26</v>
      </c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120" t="str">
        <f>[1]UnosPod!M6&amp;[1]UnosPod!P6</f>
        <v>30.06.2012.</v>
      </c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2"/>
      <c r="AD298" s="56" t="str">
        <f>"31.12."&amp;[1]UnosPod!U1-1</f>
        <v>31.12.2011</v>
      </c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7" t="s">
        <v>29</v>
      </c>
      <c r="AQ298" s="57"/>
      <c r="AR298" s="57"/>
      <c r="AS298" s="57"/>
      <c r="AT298" s="58"/>
    </row>
    <row r="299" spans="1:51" ht="18" customHeight="1" x14ac:dyDescent="0.25">
      <c r="A299" s="59" t="s">
        <v>30</v>
      </c>
      <c r="B299" s="60" t="s">
        <v>31</v>
      </c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1" t="s">
        <v>32</v>
      </c>
      <c r="S299" s="61"/>
      <c r="T299" s="61"/>
      <c r="U299" s="61"/>
      <c r="V299" s="61"/>
      <c r="W299" s="61"/>
      <c r="X299" s="61"/>
      <c r="Y299" s="61"/>
      <c r="Z299" s="62" t="s">
        <v>33</v>
      </c>
      <c r="AA299" s="62"/>
      <c r="AB299" s="62"/>
      <c r="AC299" s="62"/>
      <c r="AD299" s="61" t="s">
        <v>32</v>
      </c>
      <c r="AE299" s="61"/>
      <c r="AF299" s="61"/>
      <c r="AG299" s="61"/>
      <c r="AH299" s="61"/>
      <c r="AI299" s="61"/>
      <c r="AJ299" s="61"/>
      <c r="AK299" s="61"/>
      <c r="AL299" s="62" t="s">
        <v>33</v>
      </c>
      <c r="AM299" s="62"/>
      <c r="AN299" s="62"/>
      <c r="AO299" s="62"/>
      <c r="AP299" s="63" t="s">
        <v>34</v>
      </c>
      <c r="AQ299" s="63"/>
      <c r="AR299" s="63"/>
      <c r="AS299" s="63"/>
      <c r="AT299" s="64"/>
    </row>
    <row r="300" spans="1:51" x14ac:dyDescent="0.25">
      <c r="A300" s="65">
        <v>0</v>
      </c>
      <c r="B300" s="66">
        <v>1</v>
      </c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7">
        <v>2</v>
      </c>
      <c r="S300" s="67"/>
      <c r="T300" s="67"/>
      <c r="U300" s="67"/>
      <c r="V300" s="67"/>
      <c r="W300" s="67"/>
      <c r="X300" s="67"/>
      <c r="Y300" s="67"/>
      <c r="Z300" s="67">
        <v>3</v>
      </c>
      <c r="AA300" s="67"/>
      <c r="AB300" s="67"/>
      <c r="AC300" s="67"/>
      <c r="AD300" s="67">
        <v>4</v>
      </c>
      <c r="AE300" s="67"/>
      <c r="AF300" s="67"/>
      <c r="AG300" s="67"/>
      <c r="AH300" s="67"/>
      <c r="AI300" s="67"/>
      <c r="AJ300" s="67"/>
      <c r="AK300" s="67"/>
      <c r="AL300" s="67">
        <v>5</v>
      </c>
      <c r="AM300" s="67"/>
      <c r="AN300" s="67"/>
      <c r="AO300" s="67"/>
      <c r="AP300" s="67">
        <v>6</v>
      </c>
      <c r="AQ300" s="67"/>
      <c r="AR300" s="67"/>
      <c r="AS300" s="67"/>
      <c r="AT300" s="68"/>
    </row>
    <row r="301" spans="1:51" ht="18" customHeight="1" x14ac:dyDescent="0.25">
      <c r="A301" s="154">
        <v>1</v>
      </c>
      <c r="B301" s="146" t="s">
        <v>79</v>
      </c>
      <c r="C301" s="155"/>
      <c r="D301" s="155"/>
      <c r="E301" s="155"/>
      <c r="F301" s="155"/>
      <c r="G301" s="155"/>
      <c r="H301" s="155"/>
      <c r="I301" s="155"/>
      <c r="J301" s="155"/>
      <c r="K301" s="112"/>
      <c r="L301" s="112"/>
      <c r="M301" s="112"/>
      <c r="N301" s="112"/>
      <c r="O301" s="112"/>
      <c r="P301" s="112"/>
      <c r="Q301" s="156"/>
      <c r="R301" s="107">
        <f>[1]B.Stanja!AR23</f>
        <v>1341924</v>
      </c>
      <c r="S301" s="107"/>
      <c r="T301" s="107"/>
      <c r="U301" s="107"/>
      <c r="V301" s="107"/>
      <c r="W301" s="107"/>
      <c r="X301" s="107"/>
      <c r="Y301" s="107"/>
      <c r="Z301" s="108">
        <f>R301/R314*100</f>
        <v>51.268254366071488</v>
      </c>
      <c r="AA301" s="108"/>
      <c r="AB301" s="108"/>
      <c r="AC301" s="108"/>
      <c r="AD301" s="157">
        <f>[1]B.Stanja!AY23</f>
        <v>1340752</v>
      </c>
      <c r="AE301" s="158"/>
      <c r="AF301" s="158"/>
      <c r="AG301" s="158"/>
      <c r="AH301" s="158"/>
      <c r="AI301" s="158"/>
      <c r="AJ301" s="158"/>
      <c r="AK301" s="159"/>
      <c r="AL301" s="160">
        <f>AD301/AD314*100</f>
        <v>52.055707191694388</v>
      </c>
      <c r="AM301" s="160"/>
      <c r="AN301" s="160"/>
      <c r="AO301" s="160"/>
      <c r="AP301" s="161">
        <f>IF(R301/(AD301+0.00001)*100&gt;10000,0,R301/(AD301+0.00001)*100)</f>
        <v>100.08741362981306</v>
      </c>
      <c r="AQ301" s="161"/>
      <c r="AR301" s="161"/>
      <c r="AS301" s="161"/>
      <c r="AT301" s="162"/>
      <c r="AU301" s="113" t="str">
        <f>IF((R301-AD301)&gt;0,"POVEĆANJE","SMANJENJE")</f>
        <v>POVEĆANJE</v>
      </c>
      <c r="AV301" s="114" t="s">
        <v>80</v>
      </c>
      <c r="AW301" s="115"/>
      <c r="AX301" s="115"/>
      <c r="AY301" s="115"/>
    </row>
    <row r="302" spans="1:51" ht="18" customHeight="1" x14ac:dyDescent="0.25">
      <c r="A302" s="163"/>
      <c r="B302" s="164" t="s">
        <v>81</v>
      </c>
      <c r="C302" s="71"/>
      <c r="D302" s="71"/>
      <c r="E302" s="71"/>
      <c r="F302" s="71"/>
      <c r="G302" s="71"/>
      <c r="H302" s="71"/>
      <c r="I302" s="71"/>
      <c r="J302" s="71"/>
      <c r="K302" s="126"/>
      <c r="L302" s="126"/>
      <c r="M302" s="126"/>
      <c r="N302" s="126"/>
      <c r="O302" s="126"/>
      <c r="P302" s="126"/>
      <c r="Q302" s="127"/>
      <c r="R302" s="75">
        <f>[1]B.Stanja!AR25</f>
        <v>48738</v>
      </c>
      <c r="S302" s="75"/>
      <c r="T302" s="75"/>
      <c r="U302" s="75"/>
      <c r="V302" s="75"/>
      <c r="W302" s="75"/>
      <c r="X302" s="75"/>
      <c r="Y302" s="75"/>
      <c r="Z302" s="165">
        <f>R302/R314*100</f>
        <v>1.8620370313770316</v>
      </c>
      <c r="AA302" s="165"/>
      <c r="AB302" s="165"/>
      <c r="AC302" s="165"/>
      <c r="AD302" s="166">
        <f>[1]B.Stanja!AY25</f>
        <v>57860</v>
      </c>
      <c r="AE302" s="167"/>
      <c r="AF302" s="167"/>
      <c r="AG302" s="167"/>
      <c r="AH302" s="167"/>
      <c r="AI302" s="167"/>
      <c r="AJ302" s="167"/>
      <c r="AK302" s="168"/>
      <c r="AL302" s="169">
        <f>AD302/AD314*100</f>
        <v>2.2464581206005567</v>
      </c>
      <c r="AM302" s="169"/>
      <c r="AN302" s="169"/>
      <c r="AO302" s="169"/>
      <c r="AP302" s="128">
        <f>IF(R302/(AD302+0.00001)*100&gt;10000,0,R302/(AD302+0.00001)*100)</f>
        <v>84.234358782538138</v>
      </c>
      <c r="AQ302" s="128"/>
      <c r="AR302" s="128"/>
      <c r="AS302" s="128"/>
      <c r="AT302" s="129"/>
      <c r="AU302" s="123">
        <f>ROUND(IF(AP301&gt;100,AP301-100,100-AP301),1)</f>
        <v>0.1</v>
      </c>
      <c r="AV302" s="123"/>
      <c r="AW302" s="123"/>
      <c r="AX302" s="123"/>
      <c r="AY302" s="123"/>
    </row>
    <row r="303" spans="1:51" ht="18" customHeight="1" x14ac:dyDescent="0.25">
      <c r="A303" s="170"/>
      <c r="B303" s="171" t="s">
        <v>82</v>
      </c>
      <c r="C303" s="82"/>
      <c r="D303" s="82"/>
      <c r="E303" s="82"/>
      <c r="F303" s="82"/>
      <c r="G303" s="82"/>
      <c r="H303" s="82"/>
      <c r="I303" s="82"/>
      <c r="J303" s="82"/>
      <c r="K303" s="132"/>
      <c r="L303" s="132"/>
      <c r="M303" s="132"/>
      <c r="N303" s="132"/>
      <c r="O303" s="132"/>
      <c r="P303" s="132"/>
      <c r="Q303" s="133"/>
      <c r="R303" s="86">
        <f>[1]B.Stanja!AR31</f>
        <v>230150</v>
      </c>
      <c r="S303" s="86"/>
      <c r="T303" s="86"/>
      <c r="U303" s="86"/>
      <c r="V303" s="86"/>
      <c r="W303" s="86"/>
      <c r="X303" s="86"/>
      <c r="Y303" s="86"/>
      <c r="Z303" s="172">
        <f>R303/R314*100</f>
        <v>8.7928889731097684</v>
      </c>
      <c r="AA303" s="172"/>
      <c r="AB303" s="172"/>
      <c r="AC303" s="172"/>
      <c r="AD303" s="173">
        <f>[1]B.Stanja!AY31</f>
        <v>245936</v>
      </c>
      <c r="AE303" s="174"/>
      <c r="AF303" s="174"/>
      <c r="AG303" s="174"/>
      <c r="AH303" s="174"/>
      <c r="AI303" s="174"/>
      <c r="AJ303" s="174"/>
      <c r="AK303" s="175"/>
      <c r="AL303" s="176">
        <f>AD303/AD314*100</f>
        <v>9.5486506109232376</v>
      </c>
      <c r="AM303" s="176"/>
      <c r="AN303" s="176"/>
      <c r="AO303" s="176"/>
      <c r="AP303" s="134">
        <f>IF(R303/(AD303+0.00001)*100&gt;10000,0,R303/(AD303+0.00001)*100)</f>
        <v>93.581256908562338</v>
      </c>
      <c r="AQ303" s="134"/>
      <c r="AR303" s="134"/>
      <c r="AS303" s="134"/>
      <c r="AT303" s="135"/>
      <c r="AU303" s="123">
        <f>IF(R301-AD301&lt;0,0,R301-AD301)</f>
        <v>1172</v>
      </c>
    </row>
    <row r="304" spans="1:51" ht="18" customHeight="1" x14ac:dyDescent="0.25">
      <c r="A304" s="170"/>
      <c r="B304" s="177" t="s">
        <v>83</v>
      </c>
      <c r="C304" s="82"/>
      <c r="D304" s="82"/>
      <c r="E304" s="82"/>
      <c r="F304" s="82"/>
      <c r="G304" s="82"/>
      <c r="H304" s="82"/>
      <c r="I304" s="82"/>
      <c r="J304" s="82"/>
      <c r="K304" s="132"/>
      <c r="L304" s="132"/>
      <c r="M304" s="132"/>
      <c r="N304" s="132"/>
      <c r="O304" s="132"/>
      <c r="P304" s="132"/>
      <c r="Q304" s="133"/>
      <c r="R304" s="86">
        <f>[1]B.Stanja!AR38</f>
        <v>0</v>
      </c>
      <c r="S304" s="86"/>
      <c r="T304" s="86"/>
      <c r="U304" s="86"/>
      <c r="V304" s="86"/>
      <c r="W304" s="86"/>
      <c r="X304" s="86"/>
      <c r="Y304" s="86"/>
      <c r="Z304" s="172">
        <f>R304/R314*100</f>
        <v>0</v>
      </c>
      <c r="AA304" s="172"/>
      <c r="AB304" s="172"/>
      <c r="AC304" s="172"/>
      <c r="AD304" s="173">
        <f>[1]B.Stanja!AY38</f>
        <v>0</v>
      </c>
      <c r="AE304" s="174"/>
      <c r="AF304" s="174"/>
      <c r="AG304" s="174"/>
      <c r="AH304" s="174"/>
      <c r="AI304" s="174"/>
      <c r="AJ304" s="174"/>
      <c r="AK304" s="175"/>
      <c r="AL304" s="176">
        <f>AD304/AD314*100</f>
        <v>0</v>
      </c>
      <c r="AM304" s="176"/>
      <c r="AN304" s="176"/>
      <c r="AO304" s="176"/>
      <c r="AP304" s="134">
        <f>IF(R304/(AD304+0.00001)*100&gt;10000,0,R304/(AD304+0.00001)*100)</f>
        <v>0</v>
      </c>
      <c r="AQ304" s="134"/>
      <c r="AR304" s="134"/>
      <c r="AS304" s="134"/>
      <c r="AT304" s="135"/>
      <c r="AU304" s="123">
        <f>IF(AD301-R301&lt;0,0,AD301-R301)</f>
        <v>0</v>
      </c>
    </row>
    <row r="305" spans="1:53" ht="18" customHeight="1" x14ac:dyDescent="0.25">
      <c r="A305" s="178"/>
      <c r="B305" s="179" t="s">
        <v>84</v>
      </c>
      <c r="C305" s="180"/>
      <c r="D305" s="180"/>
      <c r="E305" s="180"/>
      <c r="F305" s="180"/>
      <c r="G305" s="180"/>
      <c r="H305" s="180"/>
      <c r="I305" s="180"/>
      <c r="J305" s="180"/>
      <c r="K305" s="181"/>
      <c r="L305" s="181"/>
      <c r="M305" s="181"/>
      <c r="N305" s="181"/>
      <c r="O305" s="181"/>
      <c r="P305" s="132"/>
      <c r="Q305" s="133"/>
      <c r="R305" s="86">
        <f>R301-R302-R303-R304</f>
        <v>1063036</v>
      </c>
      <c r="S305" s="86"/>
      <c r="T305" s="86"/>
      <c r="U305" s="86"/>
      <c r="V305" s="86"/>
      <c r="W305" s="86"/>
      <c r="X305" s="86"/>
      <c r="Y305" s="86"/>
      <c r="Z305" s="172">
        <f>R305/R314*100</f>
        <v>40.613328361584685</v>
      </c>
      <c r="AA305" s="172"/>
      <c r="AB305" s="172"/>
      <c r="AC305" s="172"/>
      <c r="AD305" s="182">
        <f>AD301-AD302-AD303-AD304</f>
        <v>1036956</v>
      </c>
      <c r="AE305" s="183"/>
      <c r="AF305" s="183"/>
      <c r="AG305" s="183"/>
      <c r="AH305" s="183"/>
      <c r="AI305" s="183"/>
      <c r="AJ305" s="183"/>
      <c r="AK305" s="184"/>
      <c r="AL305" s="176">
        <f>AD305/AD314*100</f>
        <v>40.260598460170598</v>
      </c>
      <c r="AM305" s="176"/>
      <c r="AN305" s="176"/>
      <c r="AO305" s="176"/>
      <c r="AP305" s="134">
        <f>IF(R305/(AD305+0.00001)*100&gt;10000,0,R305/(AD305+0.00001)*100)</f>
        <v>102.51505367534868</v>
      </c>
      <c r="AQ305" s="134"/>
      <c r="AR305" s="134"/>
      <c r="AS305" s="134"/>
      <c r="AT305" s="135"/>
    </row>
    <row r="306" spans="1:53" ht="18" customHeight="1" x14ac:dyDescent="0.25">
      <c r="A306" s="102">
        <v>2</v>
      </c>
      <c r="B306" s="103" t="s">
        <v>85</v>
      </c>
      <c r="C306" s="104"/>
      <c r="D306" s="104"/>
      <c r="E306" s="104"/>
      <c r="F306" s="104"/>
      <c r="G306" s="104"/>
      <c r="H306" s="104"/>
      <c r="I306" s="104"/>
      <c r="J306" s="104"/>
      <c r="K306" s="105"/>
      <c r="L306" s="105"/>
      <c r="M306" s="105"/>
      <c r="N306" s="105"/>
      <c r="O306" s="105"/>
      <c r="P306" s="112"/>
      <c r="Q306" s="156"/>
      <c r="R306" s="107">
        <f>[1]B.Stanja!AR61</f>
        <v>1275532</v>
      </c>
      <c r="S306" s="107"/>
      <c r="T306" s="107"/>
      <c r="U306" s="107"/>
      <c r="V306" s="107"/>
      <c r="W306" s="107"/>
      <c r="X306" s="107"/>
      <c r="Y306" s="107"/>
      <c r="Z306" s="108">
        <f>R306/R314*100</f>
        <v>48.731745633928519</v>
      </c>
      <c r="AA306" s="108"/>
      <c r="AB306" s="108"/>
      <c r="AC306" s="108"/>
      <c r="AD306" s="157">
        <f>[1]B.Stanja!AY61</f>
        <v>1234858</v>
      </c>
      <c r="AE306" s="158"/>
      <c r="AF306" s="158"/>
      <c r="AG306" s="158"/>
      <c r="AH306" s="158"/>
      <c r="AI306" s="158"/>
      <c r="AJ306" s="158"/>
      <c r="AK306" s="159"/>
      <c r="AL306" s="160">
        <f>AD306/AD314*100</f>
        <v>47.944292808305605</v>
      </c>
      <c r="AM306" s="160"/>
      <c r="AN306" s="160"/>
      <c r="AO306" s="160"/>
      <c r="AP306" s="161">
        <f t="shared" ref="AP306:AP313" si="0">IF(R306/(AD306+0.00001)*100&gt;10000,0,R306/(AD306+0.00001)*100)</f>
        <v>103.29382001733565</v>
      </c>
      <c r="AQ306" s="161"/>
      <c r="AR306" s="161"/>
      <c r="AS306" s="161"/>
      <c r="AT306" s="162"/>
    </row>
    <row r="307" spans="1:53" ht="18" customHeight="1" x14ac:dyDescent="0.25">
      <c r="A307" s="163"/>
      <c r="B307" s="185" t="s">
        <v>86</v>
      </c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7"/>
      <c r="R307" s="75">
        <f>[1]B.Stanja!AR62</f>
        <v>53398</v>
      </c>
      <c r="S307" s="75"/>
      <c r="T307" s="75"/>
      <c r="U307" s="75"/>
      <c r="V307" s="75"/>
      <c r="W307" s="75"/>
      <c r="X307" s="75"/>
      <c r="Y307" s="75"/>
      <c r="Z307" s="77">
        <f>R307/R314*100</f>
        <v>2.0400724978758</v>
      </c>
      <c r="AA307" s="77"/>
      <c r="AB307" s="77"/>
      <c r="AC307" s="77"/>
      <c r="AD307" s="166">
        <f>[1]B.Stanja!AY62</f>
        <v>0</v>
      </c>
      <c r="AE307" s="167"/>
      <c r="AF307" s="167"/>
      <c r="AG307" s="167"/>
      <c r="AH307" s="167"/>
      <c r="AI307" s="167"/>
      <c r="AJ307" s="167"/>
      <c r="AK307" s="168"/>
      <c r="AL307" s="188">
        <f>AD307/AD314*100</f>
        <v>0</v>
      </c>
      <c r="AM307" s="188"/>
      <c r="AN307" s="188"/>
      <c r="AO307" s="188"/>
      <c r="AP307" s="78">
        <f t="shared" si="0"/>
        <v>0</v>
      </c>
      <c r="AQ307" s="78"/>
      <c r="AR307" s="78"/>
      <c r="AS307" s="78"/>
      <c r="AT307" s="79"/>
      <c r="AU307" s="113" t="str">
        <f>IF(AP307&gt;100,"POVEĆANJE","SMANJENJE")</f>
        <v>SMANJENJE</v>
      </c>
      <c r="AV307" t="s">
        <v>87</v>
      </c>
    </row>
    <row r="308" spans="1:53" ht="18" customHeight="1" x14ac:dyDescent="0.25">
      <c r="A308" s="170"/>
      <c r="B308" s="171" t="s">
        <v>88</v>
      </c>
      <c r="C308" s="82"/>
      <c r="D308" s="82"/>
      <c r="E308" s="82"/>
      <c r="F308" s="82"/>
      <c r="G308" s="82"/>
      <c r="H308" s="82"/>
      <c r="I308" s="82"/>
      <c r="J308" s="82"/>
      <c r="K308" s="132"/>
      <c r="L308" s="132"/>
      <c r="M308" s="132"/>
      <c r="N308" s="132"/>
      <c r="O308" s="132"/>
      <c r="P308" s="132"/>
      <c r="Q308" s="133"/>
      <c r="R308" s="86">
        <f>[1]B.Stanja!AR74</f>
        <v>838522</v>
      </c>
      <c r="S308" s="86"/>
      <c r="T308" s="86"/>
      <c r="U308" s="86"/>
      <c r="V308" s="86"/>
      <c r="W308" s="86"/>
      <c r="X308" s="86"/>
      <c r="Y308" s="86"/>
      <c r="Z308" s="88">
        <f>R308/R314*100</f>
        <v>32.035762969845528</v>
      </c>
      <c r="AA308" s="88"/>
      <c r="AB308" s="88"/>
      <c r="AC308" s="88"/>
      <c r="AD308" s="173">
        <f>[1]B.Stanja!AY74</f>
        <v>471603</v>
      </c>
      <c r="AE308" s="174"/>
      <c r="AF308" s="174"/>
      <c r="AG308" s="174"/>
      <c r="AH308" s="174"/>
      <c r="AI308" s="174"/>
      <c r="AJ308" s="174"/>
      <c r="AK308" s="175"/>
      <c r="AL308" s="189">
        <f>AD308/AD314*100</f>
        <v>18.310342016066098</v>
      </c>
      <c r="AM308" s="189"/>
      <c r="AN308" s="189"/>
      <c r="AO308" s="189"/>
      <c r="AP308" s="89">
        <f t="shared" si="0"/>
        <v>177.8025160955761</v>
      </c>
      <c r="AQ308" s="89"/>
      <c r="AR308" s="89"/>
      <c r="AS308" s="89"/>
      <c r="AT308" s="90"/>
      <c r="AU308" s="123">
        <f>ROUND(IF(AP307&gt;100,AP307-100,100-AP307),1)</f>
        <v>100</v>
      </c>
    </row>
    <row r="309" spans="1:53" ht="18" customHeight="1" x14ac:dyDescent="0.25">
      <c r="A309" s="170"/>
      <c r="B309" s="177" t="s">
        <v>89</v>
      </c>
      <c r="C309" s="82"/>
      <c r="D309" s="82"/>
      <c r="E309" s="82"/>
      <c r="F309" s="82"/>
      <c r="G309" s="82"/>
      <c r="H309" s="82"/>
      <c r="I309" s="82"/>
      <c r="J309" s="82"/>
      <c r="K309" s="132"/>
      <c r="L309" s="132"/>
      <c r="M309" s="132"/>
      <c r="N309" s="132"/>
      <c r="O309" s="132"/>
      <c r="P309" s="132"/>
      <c r="Q309" s="133"/>
      <c r="R309" s="86">
        <f>[1]B.Stanja!AR80</f>
        <v>0</v>
      </c>
      <c r="S309" s="86"/>
      <c r="T309" s="86"/>
      <c r="U309" s="86"/>
      <c r="V309" s="86"/>
      <c r="W309" s="86"/>
      <c r="X309" s="86"/>
      <c r="Y309" s="86"/>
      <c r="Z309" s="88">
        <f>R309/R314*100</f>
        <v>0</v>
      </c>
      <c r="AA309" s="88"/>
      <c r="AB309" s="88"/>
      <c r="AC309" s="88"/>
      <c r="AD309" s="173">
        <f>[1]B.Stanja!AY80</f>
        <v>0</v>
      </c>
      <c r="AE309" s="174"/>
      <c r="AF309" s="174"/>
      <c r="AG309" s="174"/>
      <c r="AH309" s="174"/>
      <c r="AI309" s="174"/>
      <c r="AJ309" s="174"/>
      <c r="AK309" s="175"/>
      <c r="AL309" s="189">
        <f>AD309/AD314*100</f>
        <v>0</v>
      </c>
      <c r="AM309" s="189"/>
      <c r="AN309" s="189"/>
      <c r="AO309" s="189"/>
      <c r="AP309" s="89">
        <f>IF(R309/(AD309+0.00001)*100&gt;10000,0,R309/(AD309+0.00001)*100)</f>
        <v>0</v>
      </c>
      <c r="AQ309" s="89"/>
      <c r="AR309" s="89"/>
      <c r="AS309" s="89"/>
      <c r="AT309" s="90"/>
      <c r="AU309" s="123">
        <f>IF(AD307-R307&lt;0,0,AD307-R307)</f>
        <v>0</v>
      </c>
    </row>
    <row r="310" spans="1:53" ht="18" customHeight="1" x14ac:dyDescent="0.25">
      <c r="A310" s="170"/>
      <c r="B310" s="177" t="s">
        <v>90</v>
      </c>
      <c r="C310" s="82"/>
      <c r="D310" s="82"/>
      <c r="E310" s="82"/>
      <c r="F310" s="82"/>
      <c r="G310" s="82"/>
      <c r="H310" s="82"/>
      <c r="I310" s="82"/>
      <c r="J310" s="82"/>
      <c r="K310" s="132"/>
      <c r="L310" s="132"/>
      <c r="M310" s="132"/>
      <c r="N310" s="132"/>
      <c r="O310" s="132"/>
      <c r="P310" s="132"/>
      <c r="Q310" s="133"/>
      <c r="R310" s="86">
        <f>R306-R307-R308-R309-R311-R312</f>
        <v>0</v>
      </c>
      <c r="S310" s="86"/>
      <c r="T310" s="86"/>
      <c r="U310" s="86"/>
      <c r="V310" s="86"/>
      <c r="W310" s="86"/>
      <c r="X310" s="86"/>
      <c r="Y310" s="86"/>
      <c r="Z310" s="88">
        <f>R310/R314*100</f>
        <v>0</v>
      </c>
      <c r="AA310" s="88"/>
      <c r="AB310" s="88"/>
      <c r="AC310" s="88"/>
      <c r="AD310" s="173">
        <f>AD306-AD307-AD308-AD309-AD311-AD312</f>
        <v>0</v>
      </c>
      <c r="AE310" s="174"/>
      <c r="AF310" s="174"/>
      <c r="AG310" s="174"/>
      <c r="AH310" s="174"/>
      <c r="AI310" s="174"/>
      <c r="AJ310" s="174"/>
      <c r="AK310" s="175"/>
      <c r="AL310" s="189">
        <f>AD310/AD314*100</f>
        <v>0</v>
      </c>
      <c r="AM310" s="189"/>
      <c r="AN310" s="189"/>
      <c r="AO310" s="189"/>
      <c r="AP310" s="89">
        <f t="shared" si="0"/>
        <v>0</v>
      </c>
      <c r="AQ310" s="89"/>
      <c r="AR310" s="89"/>
      <c r="AS310" s="89"/>
      <c r="AT310" s="90"/>
      <c r="AU310" s="123">
        <f>IF(R307-AD307&lt;0,0,R307-AD307)</f>
        <v>53398</v>
      </c>
    </row>
    <row r="311" spans="1:53" ht="18" customHeight="1" x14ac:dyDescent="0.25">
      <c r="A311" s="170"/>
      <c r="B311" s="177" t="s">
        <v>91</v>
      </c>
      <c r="C311" s="82"/>
      <c r="D311" s="82"/>
      <c r="E311" s="82"/>
      <c r="F311" s="82"/>
      <c r="G311" s="82"/>
      <c r="H311" s="82"/>
      <c r="I311" s="82"/>
      <c r="J311" s="82"/>
      <c r="K311" s="132"/>
      <c r="L311" s="132"/>
      <c r="M311" s="132"/>
      <c r="N311" s="132"/>
      <c r="O311" s="132"/>
      <c r="P311" s="132"/>
      <c r="Q311" s="133"/>
      <c r="R311" s="86">
        <f>[1]B.Stanja!AR71</f>
        <v>324891</v>
      </c>
      <c r="S311" s="86"/>
      <c r="T311" s="86"/>
      <c r="U311" s="86"/>
      <c r="V311" s="86"/>
      <c r="W311" s="86"/>
      <c r="X311" s="86"/>
      <c r="Y311" s="86"/>
      <c r="Z311" s="87">
        <f>R311/R314*100</f>
        <v>12.41247226314406</v>
      </c>
      <c r="AA311" s="87"/>
      <c r="AB311" s="87"/>
      <c r="AC311" s="87"/>
      <c r="AD311" s="173">
        <f>[1]B.Stanja!AY71</f>
        <v>698187</v>
      </c>
      <c r="AE311" s="174"/>
      <c r="AF311" s="174"/>
      <c r="AG311" s="174"/>
      <c r="AH311" s="174"/>
      <c r="AI311" s="174"/>
      <c r="AJ311" s="174"/>
      <c r="AK311" s="175"/>
      <c r="AL311" s="189">
        <f>AD311/AD314*100</f>
        <v>27.107636637534409</v>
      </c>
      <c r="AM311" s="189"/>
      <c r="AN311" s="189"/>
      <c r="AO311" s="189"/>
      <c r="AP311" s="89">
        <f t="shared" si="0"/>
        <v>46.533521820851242</v>
      </c>
      <c r="AQ311" s="89"/>
      <c r="AR311" s="89"/>
      <c r="AS311" s="89"/>
      <c r="AT311" s="90"/>
    </row>
    <row r="312" spans="1:53" ht="18" customHeight="1" x14ac:dyDescent="0.25">
      <c r="A312" s="170"/>
      <c r="B312" s="171" t="s">
        <v>92</v>
      </c>
      <c r="C312" s="82"/>
      <c r="D312" s="82"/>
      <c r="E312" s="82"/>
      <c r="F312" s="82"/>
      <c r="G312" s="82"/>
      <c r="H312" s="82"/>
      <c r="I312" s="82"/>
      <c r="J312" s="82"/>
      <c r="K312" s="132"/>
      <c r="L312" s="132"/>
      <c r="M312" s="132"/>
      <c r="N312" s="132"/>
      <c r="O312" s="132"/>
      <c r="P312" s="132"/>
      <c r="Q312" s="133"/>
      <c r="R312" s="86">
        <f>[1]B.Stanja!AR89</f>
        <v>58721</v>
      </c>
      <c r="S312" s="86"/>
      <c r="T312" s="86"/>
      <c r="U312" s="86"/>
      <c r="V312" s="86"/>
      <c r="W312" s="86"/>
      <c r="X312" s="86"/>
      <c r="Y312" s="86"/>
      <c r="Z312" s="87">
        <f>R312/R314*100</f>
        <v>2.2434379030631271</v>
      </c>
      <c r="AA312" s="87"/>
      <c r="AB312" s="87"/>
      <c r="AC312" s="87"/>
      <c r="AD312" s="182">
        <f>[1]B.Stanja!AY89</f>
        <v>65068</v>
      </c>
      <c r="AE312" s="183"/>
      <c r="AF312" s="183"/>
      <c r="AG312" s="183"/>
      <c r="AH312" s="183"/>
      <c r="AI312" s="183"/>
      <c r="AJ312" s="183"/>
      <c r="AK312" s="184"/>
      <c r="AL312" s="189">
        <f>AD312/AD314*100</f>
        <v>2.5263141547050991</v>
      </c>
      <c r="AM312" s="189"/>
      <c r="AN312" s="189"/>
      <c r="AO312" s="189"/>
      <c r="AP312" s="89">
        <f t="shared" si="0"/>
        <v>90.245589215859468</v>
      </c>
      <c r="AQ312" s="89"/>
      <c r="AR312" s="89"/>
      <c r="AS312" s="89"/>
      <c r="AT312" s="90"/>
    </row>
    <row r="313" spans="1:53" ht="18" customHeight="1" x14ac:dyDescent="0.25">
      <c r="A313" s="102">
        <v>3</v>
      </c>
      <c r="B313" s="103" t="s">
        <v>93</v>
      </c>
      <c r="C313" s="104"/>
      <c r="D313" s="104"/>
      <c r="E313" s="104"/>
      <c r="F313" s="104"/>
      <c r="G313" s="104"/>
      <c r="H313" s="104"/>
      <c r="I313" s="104"/>
      <c r="J313" s="104"/>
      <c r="K313" s="105"/>
      <c r="L313" s="105"/>
      <c r="M313" s="105"/>
      <c r="N313" s="105"/>
      <c r="O313" s="105"/>
      <c r="P313" s="112"/>
      <c r="Q313" s="156"/>
      <c r="R313" s="107">
        <f>[1]B.Stanja!AR91</f>
        <v>0</v>
      </c>
      <c r="S313" s="107"/>
      <c r="T313" s="107"/>
      <c r="U313" s="107"/>
      <c r="V313" s="107"/>
      <c r="W313" s="107"/>
      <c r="X313" s="107"/>
      <c r="Y313" s="107"/>
      <c r="Z313" s="190">
        <f>R313/R314*100</f>
        <v>0</v>
      </c>
      <c r="AA313" s="190"/>
      <c r="AB313" s="190"/>
      <c r="AC313" s="190"/>
      <c r="AD313" s="157">
        <f>[1]B.Stanja!AY91</f>
        <v>0</v>
      </c>
      <c r="AE313" s="158"/>
      <c r="AF313" s="158"/>
      <c r="AG313" s="158"/>
      <c r="AH313" s="158"/>
      <c r="AI313" s="158"/>
      <c r="AJ313" s="158"/>
      <c r="AK313" s="159"/>
      <c r="AL313" s="191">
        <f>AD313/AD314*100</f>
        <v>0</v>
      </c>
      <c r="AM313" s="191"/>
      <c r="AN313" s="191"/>
      <c r="AO313" s="191"/>
      <c r="AP313" s="109">
        <f t="shared" si="0"/>
        <v>0</v>
      </c>
      <c r="AQ313" s="109"/>
      <c r="AR313" s="109"/>
      <c r="AS313" s="109"/>
      <c r="AT313" s="110"/>
    </row>
    <row r="314" spans="1:53" ht="18" customHeight="1" x14ac:dyDescent="0.25">
      <c r="A314" s="102">
        <v>4</v>
      </c>
      <c r="B314" s="103" t="s">
        <v>94</v>
      </c>
      <c r="C314" s="104"/>
      <c r="D314" s="104"/>
      <c r="E314" s="104"/>
      <c r="F314" s="104"/>
      <c r="G314" s="104"/>
      <c r="H314" s="104"/>
      <c r="I314" s="104"/>
      <c r="J314" s="104"/>
      <c r="K314" s="105"/>
      <c r="L314" s="105"/>
      <c r="M314" s="105"/>
      <c r="N314" s="105"/>
      <c r="O314" s="105"/>
      <c r="P314" s="105"/>
      <c r="Q314" s="106"/>
      <c r="R314" s="107">
        <f>[1]B.Stanja!AR92</f>
        <v>2617456</v>
      </c>
      <c r="S314" s="107"/>
      <c r="T314" s="107"/>
      <c r="U314" s="107"/>
      <c r="V314" s="107"/>
      <c r="W314" s="107"/>
      <c r="X314" s="107"/>
      <c r="Y314" s="107"/>
      <c r="Z314" s="190">
        <f>R314/R314*100</f>
        <v>100</v>
      </c>
      <c r="AA314" s="190"/>
      <c r="AB314" s="190"/>
      <c r="AC314" s="190"/>
      <c r="AD314" s="157">
        <f>[1]B.Stanja!AY92</f>
        <v>2575610</v>
      </c>
      <c r="AE314" s="158"/>
      <c r="AF314" s="158"/>
      <c r="AG314" s="158"/>
      <c r="AH314" s="158"/>
      <c r="AI314" s="158"/>
      <c r="AJ314" s="158"/>
      <c r="AK314" s="159"/>
      <c r="AL314" s="108">
        <f>AD314/AD314*100</f>
        <v>100</v>
      </c>
      <c r="AM314" s="108"/>
      <c r="AN314" s="108"/>
      <c r="AO314" s="108"/>
      <c r="AP314" s="109">
        <f>IF(R314/(AD314+0.00001)*100&gt;10000,0,R314/(AD314+0.00001)*100)</f>
        <v>101.62470249726618</v>
      </c>
      <c r="AQ314" s="109"/>
      <c r="AR314" s="109"/>
      <c r="AS314" s="109"/>
      <c r="AT314" s="110"/>
    </row>
    <row r="319" spans="1:53" ht="16.5" customHeight="1" x14ac:dyDescent="0.25">
      <c r="B319" s="48" t="str">
        <f>"Grafički prikaz strukture raspoloživih sredstava u aktivi "&amp;[1]UnosPod!M6&amp;[1]UnosPod!P6&amp;" i 31.12."&amp;[1]UnosPod!U1-1&amp;".godine"</f>
        <v>Grafički prikaz strukture raspoloživih sredstava u aktivi 30.06.2012. i 31.12.2011.godine</v>
      </c>
    </row>
    <row r="320" spans="1:53" x14ac:dyDescent="0.25">
      <c r="BA320" s="142"/>
    </row>
    <row r="321" spans="36:53" x14ac:dyDescent="0.25">
      <c r="AK321" t="str">
        <f>[1]UnosPod!P6</f>
        <v>2012.</v>
      </c>
      <c r="BA321" s="142"/>
    </row>
    <row r="322" spans="36:53" x14ac:dyDescent="0.25">
      <c r="AJ322" t="s">
        <v>95</v>
      </c>
      <c r="AK322" s="142">
        <f>R301</f>
        <v>1341924</v>
      </c>
      <c r="BA322" s="142"/>
    </row>
    <row r="323" spans="36:53" x14ac:dyDescent="0.25">
      <c r="AJ323" t="s">
        <v>96</v>
      </c>
      <c r="AK323" s="142">
        <f>R306</f>
        <v>1275532</v>
      </c>
      <c r="BA323" s="142"/>
    </row>
    <row r="324" spans="36:53" x14ac:dyDescent="0.25">
      <c r="AJ324" t="s">
        <v>97</v>
      </c>
      <c r="AK324" s="142">
        <f>R313</f>
        <v>0</v>
      </c>
      <c r="BA324" s="142"/>
    </row>
    <row r="325" spans="36:53" x14ac:dyDescent="0.25">
      <c r="AK325" s="142"/>
      <c r="BA325" s="142"/>
    </row>
    <row r="326" spans="36:53" x14ac:dyDescent="0.25">
      <c r="AK326">
        <f>[1]UnosPod!U1-1</f>
        <v>2011</v>
      </c>
      <c r="BA326" s="142"/>
    </row>
    <row r="327" spans="36:53" x14ac:dyDescent="0.25">
      <c r="AJ327" t="s">
        <v>95</v>
      </c>
      <c r="AK327" s="142">
        <f>AD301</f>
        <v>1340752</v>
      </c>
      <c r="BA327" s="142"/>
    </row>
    <row r="328" spans="36:53" x14ac:dyDescent="0.25">
      <c r="AJ328" t="s">
        <v>96</v>
      </c>
      <c r="AK328" s="142">
        <f>AD306</f>
        <v>1234858</v>
      </c>
      <c r="BA328" s="142"/>
    </row>
    <row r="329" spans="36:53" x14ac:dyDescent="0.25">
      <c r="AJ329" t="s">
        <v>97</v>
      </c>
      <c r="AK329" s="142">
        <f>AD313</f>
        <v>0</v>
      </c>
    </row>
    <row r="355" spans="1:46" ht="15.75" x14ac:dyDescent="0.25">
      <c r="A355" s="52"/>
      <c r="B355" s="48" t="str">
        <f>"Pregled izvora sredstava (pasiva) na dan "&amp;[1]UnosPod!M6&amp;[1]UnosPod!P6&amp;" i 31.12."&amp;[1]UnosPod!U1-1&amp;".godine"</f>
        <v>Pregled izvora sredstava (pasiva) na dan 30.06.2012. i 31.12.2011.godine</v>
      </c>
      <c r="C355" s="52"/>
      <c r="D355" s="53"/>
      <c r="E355" s="53"/>
      <c r="F355" s="53"/>
      <c r="G355" s="53"/>
      <c r="H355" s="53"/>
      <c r="I355" s="53"/>
      <c r="J355" s="53"/>
      <c r="K355" s="53"/>
      <c r="L355" s="53"/>
    </row>
    <row r="356" spans="1:46" ht="18" customHeight="1" x14ac:dyDescent="0.25">
      <c r="A356" s="54" t="s">
        <v>26</v>
      </c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120" t="str">
        <f>[1]UnosPod!M6&amp;[1]UnosPod!P6</f>
        <v>30.06.2012.</v>
      </c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2"/>
      <c r="AD356" s="56" t="str">
        <f>"31.12."&amp;[1]UnosPod!U1-1</f>
        <v>31.12.2011</v>
      </c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7" t="s">
        <v>29</v>
      </c>
      <c r="AQ356" s="57"/>
      <c r="AR356" s="57"/>
      <c r="AS356" s="57"/>
      <c r="AT356" s="58"/>
    </row>
    <row r="357" spans="1:46" ht="18" customHeight="1" x14ac:dyDescent="0.25">
      <c r="A357" s="59" t="s">
        <v>30</v>
      </c>
      <c r="B357" s="60" t="s">
        <v>31</v>
      </c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1" t="s">
        <v>32</v>
      </c>
      <c r="S357" s="61"/>
      <c r="T357" s="61"/>
      <c r="U357" s="61"/>
      <c r="V357" s="61"/>
      <c r="W357" s="61"/>
      <c r="X357" s="61"/>
      <c r="Y357" s="61"/>
      <c r="Z357" s="62" t="s">
        <v>33</v>
      </c>
      <c r="AA357" s="62"/>
      <c r="AB357" s="62"/>
      <c r="AC357" s="62"/>
      <c r="AD357" s="61" t="s">
        <v>32</v>
      </c>
      <c r="AE357" s="61"/>
      <c r="AF357" s="61"/>
      <c r="AG357" s="61"/>
      <c r="AH357" s="61"/>
      <c r="AI357" s="61"/>
      <c r="AJ357" s="61"/>
      <c r="AK357" s="61"/>
      <c r="AL357" s="62" t="s">
        <v>33</v>
      </c>
      <c r="AM357" s="62"/>
      <c r="AN357" s="62"/>
      <c r="AO357" s="62"/>
      <c r="AP357" s="63" t="s">
        <v>34</v>
      </c>
      <c r="AQ357" s="63"/>
      <c r="AR357" s="63"/>
      <c r="AS357" s="63"/>
      <c r="AT357" s="64"/>
    </row>
    <row r="358" spans="1:46" x14ac:dyDescent="0.25">
      <c r="A358" s="65">
        <v>0</v>
      </c>
      <c r="B358" s="66">
        <v>1</v>
      </c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7">
        <v>2</v>
      </c>
      <c r="S358" s="67"/>
      <c r="T358" s="67"/>
      <c r="U358" s="67"/>
      <c r="V358" s="67"/>
      <c r="W358" s="67"/>
      <c r="X358" s="67"/>
      <c r="Y358" s="67"/>
      <c r="Z358" s="67">
        <v>3</v>
      </c>
      <c r="AA358" s="67"/>
      <c r="AB358" s="67"/>
      <c r="AC358" s="67"/>
      <c r="AD358" s="67">
        <v>4</v>
      </c>
      <c r="AE358" s="67"/>
      <c r="AF358" s="67"/>
      <c r="AG358" s="67"/>
      <c r="AH358" s="67"/>
      <c r="AI358" s="67"/>
      <c r="AJ358" s="67"/>
      <c r="AK358" s="67"/>
      <c r="AL358" s="67">
        <v>5</v>
      </c>
      <c r="AM358" s="67"/>
      <c r="AN358" s="67"/>
      <c r="AO358" s="67"/>
      <c r="AP358" s="67">
        <v>6</v>
      </c>
      <c r="AQ358" s="67"/>
      <c r="AR358" s="67"/>
      <c r="AS358" s="67"/>
      <c r="AT358" s="68"/>
    </row>
    <row r="359" spans="1:46" ht="21.75" customHeight="1" x14ac:dyDescent="0.25">
      <c r="A359" s="154">
        <v>1</v>
      </c>
      <c r="B359" s="146" t="s">
        <v>98</v>
      </c>
      <c r="C359" s="155"/>
      <c r="D359" s="155"/>
      <c r="E359" s="155"/>
      <c r="F359" s="155"/>
      <c r="G359" s="155"/>
      <c r="H359" s="155"/>
      <c r="I359" s="155"/>
      <c r="J359" s="155"/>
      <c r="K359" s="112"/>
      <c r="L359" s="112"/>
      <c r="M359" s="112"/>
      <c r="N359" s="112"/>
      <c r="O359" s="112"/>
      <c r="P359" s="112"/>
      <c r="Q359" s="156"/>
      <c r="R359" s="107">
        <f>[1]B.Stanja!AR102</f>
        <v>2571756</v>
      </c>
      <c r="S359" s="107"/>
      <c r="T359" s="107"/>
      <c r="U359" s="107"/>
      <c r="V359" s="107"/>
      <c r="W359" s="107"/>
      <c r="X359" s="107"/>
      <c r="Y359" s="107"/>
      <c r="Z359" s="108">
        <f>R359/R364*100</f>
        <v>98.25402986716874</v>
      </c>
      <c r="AA359" s="108"/>
      <c r="AB359" s="108"/>
      <c r="AC359" s="108"/>
      <c r="AD359" s="157">
        <f>[1]B.Stanja!AY102</f>
        <v>2502558</v>
      </c>
      <c r="AE359" s="158"/>
      <c r="AF359" s="158"/>
      <c r="AG359" s="158"/>
      <c r="AH359" s="158"/>
      <c r="AI359" s="158"/>
      <c r="AJ359" s="158"/>
      <c r="AK359" s="159"/>
      <c r="AL359" s="108">
        <f>AD359/AD364*100</f>
        <v>97.163701026164674</v>
      </c>
      <c r="AM359" s="108"/>
      <c r="AN359" s="108"/>
      <c r="AO359" s="108"/>
      <c r="AP359" s="109">
        <f t="shared" ref="AP359:AP364" si="1">IF(R359/(AD359+0.00001)*100&gt;10000,0,R359/(AD359+0.00001)*100)</f>
        <v>102.76509075872463</v>
      </c>
      <c r="AQ359" s="109"/>
      <c r="AR359" s="109"/>
      <c r="AS359" s="109"/>
      <c r="AT359" s="110"/>
    </row>
    <row r="360" spans="1:46" ht="21.75" customHeight="1" x14ac:dyDescent="0.25">
      <c r="A360" s="102">
        <v>2</v>
      </c>
      <c r="B360" s="103" t="s">
        <v>99</v>
      </c>
      <c r="C360" s="104"/>
      <c r="D360" s="104"/>
      <c r="E360" s="104"/>
      <c r="F360" s="104"/>
      <c r="G360" s="104"/>
      <c r="H360" s="104"/>
      <c r="I360" s="104"/>
      <c r="J360" s="104"/>
      <c r="K360" s="105"/>
      <c r="L360" s="105"/>
      <c r="M360" s="105"/>
      <c r="N360" s="105"/>
      <c r="O360" s="105"/>
      <c r="P360" s="105"/>
      <c r="Q360" s="106"/>
      <c r="R360" s="107">
        <f>R361+R362</f>
        <v>45700</v>
      </c>
      <c r="S360" s="107"/>
      <c r="T360" s="107"/>
      <c r="U360" s="107"/>
      <c r="V360" s="107"/>
      <c r="W360" s="107"/>
      <c r="X360" s="107"/>
      <c r="Y360" s="107"/>
      <c r="Z360" s="108">
        <f>R360/R364*100</f>
        <v>1.7459701328312685</v>
      </c>
      <c r="AA360" s="108"/>
      <c r="AB360" s="108"/>
      <c r="AC360" s="108"/>
      <c r="AD360" s="157">
        <f>AD361+AD362</f>
        <v>73052</v>
      </c>
      <c r="AE360" s="158"/>
      <c r="AF360" s="158"/>
      <c r="AG360" s="158"/>
      <c r="AH360" s="158"/>
      <c r="AI360" s="158"/>
      <c r="AJ360" s="158"/>
      <c r="AK360" s="159"/>
      <c r="AL360" s="108">
        <f>AD360/AD364*100</f>
        <v>2.8362989738353246</v>
      </c>
      <c r="AM360" s="108"/>
      <c r="AN360" s="108"/>
      <c r="AO360" s="108"/>
      <c r="AP360" s="109">
        <f t="shared" si="1"/>
        <v>62.558177727843422</v>
      </c>
      <c r="AQ360" s="109"/>
      <c r="AR360" s="109"/>
      <c r="AS360" s="109"/>
      <c r="AT360" s="110"/>
    </row>
    <row r="361" spans="1:46" ht="21.75" customHeight="1" x14ac:dyDescent="0.25">
      <c r="A361" s="163"/>
      <c r="B361" s="164" t="s">
        <v>100</v>
      </c>
      <c r="C361" s="71"/>
      <c r="D361" s="71"/>
      <c r="E361" s="71"/>
      <c r="F361" s="71"/>
      <c r="G361" s="71"/>
      <c r="H361" s="71"/>
      <c r="I361" s="71"/>
      <c r="J361" s="71"/>
      <c r="K361" s="126"/>
      <c r="L361" s="126"/>
      <c r="M361" s="126"/>
      <c r="N361" s="126"/>
      <c r="O361" s="126"/>
      <c r="P361" s="126"/>
      <c r="Q361" s="127"/>
      <c r="R361" s="75">
        <f>[1]B.Stanja!AR132</f>
        <v>0</v>
      </c>
      <c r="S361" s="75"/>
      <c r="T361" s="75"/>
      <c r="U361" s="75"/>
      <c r="V361" s="75"/>
      <c r="W361" s="75"/>
      <c r="X361" s="75"/>
      <c r="Y361" s="75"/>
      <c r="Z361" s="165">
        <f>R361/R364*100</f>
        <v>0</v>
      </c>
      <c r="AA361" s="165"/>
      <c r="AB361" s="165"/>
      <c r="AC361" s="165"/>
      <c r="AD361" s="166">
        <f>[1]B.Stanja!AY132</f>
        <v>0</v>
      </c>
      <c r="AE361" s="167"/>
      <c r="AF361" s="167"/>
      <c r="AG361" s="167"/>
      <c r="AH361" s="167"/>
      <c r="AI361" s="167"/>
      <c r="AJ361" s="167"/>
      <c r="AK361" s="168"/>
      <c r="AL361" s="165">
        <f>AD361/AD364*100</f>
        <v>0</v>
      </c>
      <c r="AM361" s="165"/>
      <c r="AN361" s="165"/>
      <c r="AO361" s="165"/>
      <c r="AP361" s="128">
        <f t="shared" si="1"/>
        <v>0</v>
      </c>
      <c r="AQ361" s="128"/>
      <c r="AR361" s="128"/>
      <c r="AS361" s="128"/>
      <c r="AT361" s="129"/>
    </row>
    <row r="362" spans="1:46" ht="21.75" customHeight="1" x14ac:dyDescent="0.25">
      <c r="A362" s="170"/>
      <c r="B362" s="171" t="s">
        <v>101</v>
      </c>
      <c r="C362" s="82"/>
      <c r="D362" s="82"/>
      <c r="E362" s="82"/>
      <c r="F362" s="82"/>
      <c r="G362" s="82"/>
      <c r="H362" s="82"/>
      <c r="I362" s="82"/>
      <c r="J362" s="82"/>
      <c r="K362" s="132"/>
      <c r="L362" s="132"/>
      <c r="M362" s="132"/>
      <c r="N362" s="132"/>
      <c r="O362" s="132"/>
      <c r="P362" s="132"/>
      <c r="Q362" s="133"/>
      <c r="R362" s="86">
        <f>[1]B.Stanja!AR144</f>
        <v>45700</v>
      </c>
      <c r="S362" s="86"/>
      <c r="T362" s="86"/>
      <c r="U362" s="86"/>
      <c r="V362" s="86"/>
      <c r="W362" s="86"/>
      <c r="X362" s="86"/>
      <c r="Y362" s="86"/>
      <c r="Z362" s="172">
        <f>R362/R364*100</f>
        <v>1.7459701328312685</v>
      </c>
      <c r="AA362" s="172"/>
      <c r="AB362" s="172"/>
      <c r="AC362" s="172"/>
      <c r="AD362" s="173">
        <f>[1]B.Stanja!AY144</f>
        <v>73052</v>
      </c>
      <c r="AE362" s="174"/>
      <c r="AF362" s="174"/>
      <c r="AG362" s="174"/>
      <c r="AH362" s="174"/>
      <c r="AI362" s="174"/>
      <c r="AJ362" s="174"/>
      <c r="AK362" s="175"/>
      <c r="AL362" s="172">
        <f>AD362/AD364*100</f>
        <v>2.8362989738353246</v>
      </c>
      <c r="AM362" s="172"/>
      <c r="AN362" s="172"/>
      <c r="AO362" s="172"/>
      <c r="AP362" s="134">
        <f t="shared" si="1"/>
        <v>62.558177727843422</v>
      </c>
      <c r="AQ362" s="134"/>
      <c r="AR362" s="134"/>
      <c r="AS362" s="134"/>
      <c r="AT362" s="135"/>
    </row>
    <row r="363" spans="1:46" ht="21.75" customHeight="1" x14ac:dyDescent="0.25">
      <c r="A363" s="102">
        <v>3</v>
      </c>
      <c r="B363" s="103" t="s">
        <v>102</v>
      </c>
      <c r="C363" s="104"/>
      <c r="D363" s="104"/>
      <c r="E363" s="104"/>
      <c r="F363" s="104"/>
      <c r="G363" s="104"/>
      <c r="H363" s="104"/>
      <c r="I363" s="104"/>
      <c r="J363" s="104"/>
      <c r="K363" s="105"/>
      <c r="L363" s="105"/>
      <c r="M363" s="105"/>
      <c r="N363" s="105"/>
      <c r="O363" s="105"/>
      <c r="P363" s="105"/>
      <c r="Q363" s="106"/>
      <c r="R363" s="107">
        <f>R364-R359-R360</f>
        <v>0</v>
      </c>
      <c r="S363" s="107"/>
      <c r="T363" s="107"/>
      <c r="U363" s="107"/>
      <c r="V363" s="107"/>
      <c r="W363" s="107"/>
      <c r="X363" s="107"/>
      <c r="Y363" s="107"/>
      <c r="Z363" s="108">
        <f>R363/R364*100</f>
        <v>0</v>
      </c>
      <c r="AA363" s="108"/>
      <c r="AB363" s="108"/>
      <c r="AC363" s="108"/>
      <c r="AD363" s="157">
        <f>AD364-AD359-AD360</f>
        <v>0</v>
      </c>
      <c r="AE363" s="158"/>
      <c r="AF363" s="158"/>
      <c r="AG363" s="158"/>
      <c r="AH363" s="158"/>
      <c r="AI363" s="158"/>
      <c r="AJ363" s="158"/>
      <c r="AK363" s="159"/>
      <c r="AL363" s="108">
        <f>AD363/AD364*100</f>
        <v>0</v>
      </c>
      <c r="AM363" s="108"/>
      <c r="AN363" s="108"/>
      <c r="AO363" s="108"/>
      <c r="AP363" s="109">
        <f t="shared" si="1"/>
        <v>0</v>
      </c>
      <c r="AQ363" s="109"/>
      <c r="AR363" s="109"/>
      <c r="AS363" s="109"/>
      <c r="AT363" s="110"/>
    </row>
    <row r="364" spans="1:46" ht="21.75" customHeight="1" x14ac:dyDescent="0.25">
      <c r="A364" s="102">
        <v>4</v>
      </c>
      <c r="B364" s="103" t="s">
        <v>103</v>
      </c>
      <c r="C364" s="104"/>
      <c r="D364" s="104"/>
      <c r="E364" s="104"/>
      <c r="F364" s="104"/>
      <c r="G364" s="104"/>
      <c r="H364" s="104"/>
      <c r="I364" s="104"/>
      <c r="J364" s="104"/>
      <c r="K364" s="105"/>
      <c r="L364" s="105"/>
      <c r="M364" s="105"/>
      <c r="N364" s="105"/>
      <c r="O364" s="105"/>
      <c r="P364" s="105"/>
      <c r="Q364" s="106"/>
      <c r="R364" s="107">
        <f>[1]B.Stanja!AR170</f>
        <v>2617456</v>
      </c>
      <c r="S364" s="107"/>
      <c r="T364" s="107"/>
      <c r="U364" s="107"/>
      <c r="V364" s="107"/>
      <c r="W364" s="107"/>
      <c r="X364" s="107"/>
      <c r="Y364" s="107"/>
      <c r="Z364" s="108">
        <f>R364/R364*100</f>
        <v>100</v>
      </c>
      <c r="AA364" s="108"/>
      <c r="AB364" s="108"/>
      <c r="AC364" s="108"/>
      <c r="AD364" s="157">
        <f>[1]B.Stanja!AY170</f>
        <v>2575610</v>
      </c>
      <c r="AE364" s="158"/>
      <c r="AF364" s="158"/>
      <c r="AG364" s="158"/>
      <c r="AH364" s="158"/>
      <c r="AI364" s="158"/>
      <c r="AJ364" s="158"/>
      <c r="AK364" s="159"/>
      <c r="AL364" s="108">
        <f>AD364/AD364*100</f>
        <v>100</v>
      </c>
      <c r="AM364" s="108"/>
      <c r="AN364" s="108"/>
      <c r="AO364" s="108"/>
      <c r="AP364" s="109">
        <f t="shared" si="1"/>
        <v>101.62470249726618</v>
      </c>
      <c r="AQ364" s="109"/>
      <c r="AR364" s="109"/>
      <c r="AS364" s="109"/>
      <c r="AT364" s="110"/>
    </row>
    <row r="368" spans="1:46" x14ac:dyDescent="0.25">
      <c r="B368" s="48" t="str">
        <f>"Grafički prikaz strukture pasive (izvora sredstava) "&amp;[1]UnosPod!M6&amp;[1]UnosPod!P6&amp;" i 31.12."&amp;[1]UnosPod!U1-1&amp;".godine"</f>
        <v>Grafički prikaz strukture pasive (izvora sredstava) 30.06.2012. i 31.12.2011.godine</v>
      </c>
    </row>
    <row r="370" spans="38:39" x14ac:dyDescent="0.25">
      <c r="AM370" t="str">
        <f>[1]UnosPod!P6</f>
        <v>2012.</v>
      </c>
    </row>
    <row r="371" spans="38:39" x14ac:dyDescent="0.25">
      <c r="AL371" s="118" t="s">
        <v>104</v>
      </c>
      <c r="AM371" s="142">
        <f>R359</f>
        <v>2571756</v>
      </c>
    </row>
    <row r="372" spans="38:39" x14ac:dyDescent="0.25">
      <c r="AL372" s="118" t="s">
        <v>105</v>
      </c>
      <c r="AM372" s="142">
        <f>R361</f>
        <v>0</v>
      </c>
    </row>
    <row r="373" spans="38:39" x14ac:dyDescent="0.25">
      <c r="AL373" s="118" t="s">
        <v>106</v>
      </c>
      <c r="AM373" s="142">
        <f>R362</f>
        <v>45700</v>
      </c>
    </row>
    <row r="374" spans="38:39" x14ac:dyDescent="0.25">
      <c r="AM374" s="142"/>
    </row>
    <row r="375" spans="38:39" x14ac:dyDescent="0.25">
      <c r="AM375">
        <f>[1]UnosPod!U1-1</f>
        <v>2011</v>
      </c>
    </row>
    <row r="376" spans="38:39" x14ac:dyDescent="0.25">
      <c r="AL376" s="118" t="s">
        <v>104</v>
      </c>
      <c r="AM376" s="142">
        <f>AD359</f>
        <v>2502558</v>
      </c>
    </row>
    <row r="377" spans="38:39" x14ac:dyDescent="0.25">
      <c r="AL377" s="118" t="s">
        <v>107</v>
      </c>
      <c r="AM377" s="142">
        <f>AD361</f>
        <v>0</v>
      </c>
    </row>
    <row r="378" spans="38:39" x14ac:dyDescent="0.25">
      <c r="AL378" s="118" t="s">
        <v>108</v>
      </c>
      <c r="AM378" s="142">
        <f>AD362</f>
        <v>73052</v>
      </c>
    </row>
    <row r="389" spans="2:39" x14ac:dyDescent="0.25">
      <c r="B389" s="48" t="str">
        <f>"Aktiva bilansa stanja "&amp;[1]UnosPod!P6&amp;" i "&amp;[1]UnosPod!U1-1&amp;".godine"</f>
        <v>Aktiva bilansa stanja 2012. i 2011.godine</v>
      </c>
      <c r="Y389" s="48" t="str">
        <f>"Pasiva bilansa stanja "&amp;[1]UnosPod!P6&amp;" i "&amp;[1]UnosPod!U1-1&amp;".godine"</f>
        <v>Pasiva bilansa stanja 2012. i 2011.godine</v>
      </c>
    </row>
    <row r="391" spans="2:39" x14ac:dyDescent="0.25"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2:39" x14ac:dyDescent="0.25"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AL392" t="str">
        <f>[1]UnosPod!P6</f>
        <v>2012.</v>
      </c>
      <c r="AM392">
        <f>[1]UnosPod!U1-1</f>
        <v>2011</v>
      </c>
    </row>
    <row r="393" spans="2:39" x14ac:dyDescent="0.25"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AK393" s="118" t="s">
        <v>95</v>
      </c>
      <c r="AL393" s="142">
        <f>R301</f>
        <v>1341924</v>
      </c>
      <c r="AM393" s="117">
        <f>AD301</f>
        <v>1340752</v>
      </c>
    </row>
    <row r="394" spans="2:39" x14ac:dyDescent="0.25"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AK394" s="118" t="s">
        <v>96</v>
      </c>
      <c r="AL394" s="142">
        <f>R306</f>
        <v>1275532</v>
      </c>
      <c r="AM394" s="117">
        <f>AD306</f>
        <v>1234858</v>
      </c>
    </row>
    <row r="395" spans="2:39" x14ac:dyDescent="0.25"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AK395" s="118" t="s">
        <v>109</v>
      </c>
      <c r="AL395" s="142">
        <f>R313</f>
        <v>0</v>
      </c>
      <c r="AM395" s="117">
        <f>AD313</f>
        <v>0</v>
      </c>
    </row>
    <row r="396" spans="2:39" x14ac:dyDescent="0.25"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</row>
    <row r="397" spans="2:39" x14ac:dyDescent="0.25"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</row>
    <row r="398" spans="2:39" x14ac:dyDescent="0.25"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AL398" t="str">
        <f>[1]UnosPod!P6</f>
        <v>2012.</v>
      </c>
      <c r="AM398">
        <f>[1]UnosPod!U1-1</f>
        <v>2011</v>
      </c>
    </row>
    <row r="399" spans="2:39" x14ac:dyDescent="0.25"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AK399" s="118" t="s">
        <v>104</v>
      </c>
      <c r="AL399" s="142">
        <f>R359</f>
        <v>2571756</v>
      </c>
      <c r="AM399" s="117">
        <f>AD359</f>
        <v>2502558</v>
      </c>
    </row>
    <row r="400" spans="2:39" x14ac:dyDescent="0.25"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AK400" s="118" t="s">
        <v>105</v>
      </c>
      <c r="AL400" s="142">
        <f>R361</f>
        <v>0</v>
      </c>
      <c r="AM400" s="117">
        <f>AD361</f>
        <v>0</v>
      </c>
    </row>
    <row r="401" spans="2:39" x14ac:dyDescent="0.25"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AK401" s="118" t="s">
        <v>108</v>
      </c>
      <c r="AL401" s="142">
        <f>R362</f>
        <v>45700</v>
      </c>
      <c r="AM401" s="117">
        <f>AD362</f>
        <v>73052</v>
      </c>
    </row>
    <row r="402" spans="2:39" x14ac:dyDescent="0.25"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</row>
    <row r="403" spans="2:39" x14ac:dyDescent="0.25"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2:39" x14ac:dyDescent="0.25"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</row>
    <row r="405" spans="2:39" x14ac:dyDescent="0.25"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</row>
    <row r="406" spans="2:39" x14ac:dyDescent="0.25"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</row>
    <row r="407" spans="2:39" x14ac:dyDescent="0.25"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</row>
    <row r="408" spans="2:39" x14ac:dyDescent="0.25"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</row>
    <row r="409" spans="2:39" x14ac:dyDescent="0.25"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</row>
    <row r="410" spans="2:39" x14ac:dyDescent="0.25"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</row>
    <row r="411" spans="2:39" x14ac:dyDescent="0.25"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</row>
    <row r="417" spans="1:46" ht="18" x14ac:dyDescent="0.25">
      <c r="A417" s="42"/>
      <c r="B417" s="43" t="s">
        <v>110</v>
      </c>
      <c r="C417" s="143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6"/>
    </row>
    <row r="418" spans="1:46" s="193" customFormat="1" x14ac:dyDescent="0.2">
      <c r="A418" s="192"/>
      <c r="B418" s="192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</row>
    <row r="419" spans="1:46" s="48" customFormat="1" ht="14.25" x14ac:dyDescent="0.2">
      <c r="A419" s="119" t="s">
        <v>111</v>
      </c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</row>
    <row r="420" spans="1:46" s="48" customFormat="1" ht="14.25" x14ac:dyDescent="0.2">
      <c r="A420" s="119" t="s">
        <v>112</v>
      </c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</row>
    <row r="421" spans="1:46" s="48" customFormat="1" ht="14.25" x14ac:dyDescent="0.2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</row>
    <row r="422" spans="1:46" s="48" customFormat="1" ht="14.25" x14ac:dyDescent="0.2">
      <c r="A422" s="119" t="str">
        <f>"U "&amp;[1]UnosPod!U1&amp;".godini, zaključno sa "&amp;[1]UnosPod!M6&amp;[1]UnosPod!P6&amp;"godine, ukupni prilivi gotovine iznose : "&amp;[1]GotTok_Direkt!AC76&amp;" KM, "</f>
        <v xml:space="preserve">U 2012.godini, zaključno sa 30.06.2012.godine, ukupni prilivi gotovine iznose : 0 KM, </v>
      </c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</row>
    <row r="423" spans="1:46" s="48" customFormat="1" ht="14.25" x14ac:dyDescent="0.2">
      <c r="A423" s="119" t="str">
        <f>"u istom periodu ukupni odlivi gotovine iznose : "&amp;[1]GotTok_Direkt!AC77&amp;" KM, "&amp;"što znači da imamo "&amp;AP434</f>
        <v>u istom periodu ukupni odlivi gotovine iznose : 373296 KM, što znači da imamo SMANJENJE</v>
      </c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Q423" s="119"/>
      <c r="AR423" s="119"/>
      <c r="AS423" s="119"/>
      <c r="AT423" s="119"/>
    </row>
    <row r="424" spans="1:46" s="48" customFormat="1" ht="14.25" x14ac:dyDescent="0.2">
      <c r="A424" s="119" t="str">
        <f>"neto gotovine u iznosu : "&amp;[1]GotTok_Direkt!AC78-[1]GotTok_Direkt!AC79&amp;" KM."</f>
        <v>neto gotovine u iznosu : -373296 KM.</v>
      </c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</row>
    <row r="425" spans="1:46" s="48" customFormat="1" ht="14.25" x14ac:dyDescent="0.2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</row>
    <row r="426" spans="1:46" s="48" customFormat="1" ht="14.25" x14ac:dyDescent="0.2">
      <c r="A426" s="119" t="str">
        <f>"Pregled novčanih tokova po vrstama aktivnosti "&amp;"u "&amp;[1]UnosPod!U1&amp;".godini."</f>
        <v>Pregled novčanih tokova po vrstama aktivnosti u 2012.godini.</v>
      </c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</row>
    <row r="427" spans="1:46" s="48" customFormat="1" ht="14.25" x14ac:dyDescent="0.2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</row>
    <row r="428" spans="1:46" s="48" customFormat="1" ht="15.75" x14ac:dyDescent="0.25">
      <c r="A428" s="194" t="s">
        <v>26</v>
      </c>
      <c r="B428" s="195"/>
      <c r="C428" s="195"/>
      <c r="D428" s="195"/>
      <c r="E428" s="195"/>
      <c r="F428" s="195"/>
      <c r="G428" s="195"/>
      <c r="H428" s="195"/>
      <c r="I428" s="195"/>
      <c r="J428" s="196" t="s">
        <v>113</v>
      </c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 t="s">
        <v>114</v>
      </c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7" t="s">
        <v>115</v>
      </c>
      <c r="AI428" s="198"/>
      <c r="AJ428" s="198"/>
      <c r="AK428" s="198"/>
      <c r="AL428" s="198"/>
      <c r="AM428" s="198"/>
      <c r="AN428" s="198"/>
      <c r="AO428" s="119"/>
      <c r="AP428" s="119"/>
      <c r="AQ428" s="119"/>
      <c r="AR428" s="119"/>
      <c r="AS428" s="119"/>
      <c r="AT428" s="119"/>
    </row>
    <row r="429" spans="1:46" s="48" customFormat="1" x14ac:dyDescent="0.25">
      <c r="A429" s="199" t="s">
        <v>30</v>
      </c>
      <c r="B429" s="200" t="s">
        <v>116</v>
      </c>
      <c r="C429" s="200"/>
      <c r="D429" s="200"/>
      <c r="E429" s="200"/>
      <c r="F429" s="200"/>
      <c r="G429" s="200"/>
      <c r="H429" s="200"/>
      <c r="I429" s="200"/>
      <c r="J429" s="201" t="s">
        <v>32</v>
      </c>
      <c r="K429" s="60"/>
      <c r="L429" s="60"/>
      <c r="M429" s="60"/>
      <c r="N429" s="60"/>
      <c r="O429" s="60"/>
      <c r="P429" s="60"/>
      <c r="Q429" s="60"/>
      <c r="R429" s="63" t="s">
        <v>33</v>
      </c>
      <c r="S429" s="63"/>
      <c r="T429" s="63"/>
      <c r="U429" s="64"/>
      <c r="V429" s="201" t="s">
        <v>32</v>
      </c>
      <c r="W429" s="60"/>
      <c r="X429" s="60"/>
      <c r="Y429" s="60"/>
      <c r="Z429" s="60"/>
      <c r="AA429" s="60"/>
      <c r="AB429" s="60"/>
      <c r="AC429" s="60"/>
      <c r="AD429" s="63" t="s">
        <v>33</v>
      </c>
      <c r="AE429" s="63"/>
      <c r="AF429" s="63"/>
      <c r="AG429" s="64"/>
      <c r="AH429" s="202" t="s">
        <v>117</v>
      </c>
      <c r="AI429" s="203"/>
      <c r="AJ429" s="203"/>
      <c r="AK429" s="203"/>
      <c r="AL429" s="203"/>
      <c r="AM429" s="203"/>
      <c r="AN429" s="203"/>
      <c r="AO429" s="119"/>
      <c r="AP429" s="119"/>
      <c r="AQ429" s="119"/>
      <c r="AR429" s="119"/>
      <c r="AS429" s="119"/>
      <c r="AT429" s="119"/>
    </row>
    <row r="430" spans="1:46" s="48" customFormat="1" ht="14.25" x14ac:dyDescent="0.2">
      <c r="A430" s="204">
        <v>0</v>
      </c>
      <c r="B430" s="205">
        <v>1</v>
      </c>
      <c r="C430" s="205"/>
      <c r="D430" s="205"/>
      <c r="E430" s="205"/>
      <c r="F430" s="205"/>
      <c r="G430" s="205"/>
      <c r="H430" s="205"/>
      <c r="I430" s="205"/>
      <c r="J430" s="206">
        <v>2</v>
      </c>
      <c r="K430" s="67"/>
      <c r="L430" s="67"/>
      <c r="M430" s="67"/>
      <c r="N430" s="67"/>
      <c r="O430" s="67"/>
      <c r="P430" s="67"/>
      <c r="Q430" s="67"/>
      <c r="R430" s="67">
        <v>3</v>
      </c>
      <c r="S430" s="67"/>
      <c r="T430" s="67"/>
      <c r="U430" s="68"/>
      <c r="V430" s="206">
        <v>4</v>
      </c>
      <c r="W430" s="67"/>
      <c r="X430" s="67"/>
      <c r="Y430" s="67"/>
      <c r="Z430" s="67"/>
      <c r="AA430" s="67"/>
      <c r="AB430" s="67"/>
      <c r="AC430" s="67"/>
      <c r="AD430" s="67">
        <v>5</v>
      </c>
      <c r="AE430" s="67"/>
      <c r="AF430" s="67"/>
      <c r="AG430" s="68"/>
      <c r="AH430" s="207">
        <v>6</v>
      </c>
      <c r="AI430" s="207"/>
      <c r="AJ430" s="207"/>
      <c r="AK430" s="207"/>
      <c r="AL430" s="207"/>
      <c r="AM430" s="207"/>
      <c r="AN430" s="207"/>
      <c r="AO430" s="119"/>
      <c r="AP430" s="119"/>
      <c r="AQ430" s="119"/>
      <c r="AR430" s="119"/>
      <c r="AS430" s="119"/>
      <c r="AT430" s="119"/>
    </row>
    <row r="431" spans="1:46" s="48" customFormat="1" ht="15.75" x14ac:dyDescent="0.25">
      <c r="A431" s="208">
        <v>1</v>
      </c>
      <c r="B431" s="209" t="s">
        <v>118</v>
      </c>
      <c r="C431" s="71"/>
      <c r="D431" s="71"/>
      <c r="E431" s="71"/>
      <c r="F431" s="71"/>
      <c r="G431" s="72"/>
      <c r="H431" s="73"/>
      <c r="I431" s="210"/>
      <c r="J431" s="211"/>
      <c r="K431" s="75"/>
      <c r="L431" s="75"/>
      <c r="M431" s="75"/>
      <c r="N431" s="75"/>
      <c r="O431" s="75"/>
      <c r="P431" s="75"/>
      <c r="Q431" s="75"/>
      <c r="R431" s="76">
        <f>J431/J434*100</f>
        <v>0</v>
      </c>
      <c r="S431" s="76"/>
      <c r="T431" s="76"/>
      <c r="U431" s="212"/>
      <c r="V431" s="211">
        <v>306327</v>
      </c>
      <c r="W431" s="75"/>
      <c r="X431" s="75"/>
      <c r="Y431" s="75"/>
      <c r="Z431" s="75"/>
      <c r="AA431" s="75"/>
      <c r="AB431" s="75"/>
      <c r="AC431" s="75"/>
      <c r="AD431" s="77">
        <f>V431/V434*100</f>
        <v>56.237848793553866</v>
      </c>
      <c r="AE431" s="77"/>
      <c r="AF431" s="77"/>
      <c r="AG431" s="213"/>
      <c r="AH431" s="214">
        <f>J431-V431</f>
        <v>-306327</v>
      </c>
      <c r="AI431" s="214"/>
      <c r="AJ431" s="214"/>
      <c r="AK431" s="214"/>
      <c r="AL431" s="214"/>
      <c r="AM431" s="214"/>
      <c r="AN431" s="214"/>
      <c r="AO431" s="119"/>
      <c r="AP431" s="35" t="str">
        <f>IF(AH431&gt;0,"POVEĆANJE","SMANJENJE")</f>
        <v>SMANJENJE</v>
      </c>
      <c r="AQ431" s="119"/>
      <c r="AR431" s="119"/>
      <c r="AS431" s="119"/>
      <c r="AT431" s="119"/>
    </row>
    <row r="432" spans="1:46" s="48" customFormat="1" ht="15.75" x14ac:dyDescent="0.25">
      <c r="A432" s="215">
        <v>2</v>
      </c>
      <c r="B432" s="216" t="s">
        <v>119</v>
      </c>
      <c r="C432" s="82"/>
      <c r="D432" s="82"/>
      <c r="E432" s="82"/>
      <c r="F432" s="82"/>
      <c r="G432" s="83"/>
      <c r="H432" s="84"/>
      <c r="I432" s="217"/>
      <c r="J432" s="218">
        <v>171403</v>
      </c>
      <c r="K432" s="86"/>
      <c r="L432" s="86"/>
      <c r="M432" s="86"/>
      <c r="N432" s="86"/>
      <c r="O432" s="86"/>
      <c r="P432" s="86"/>
      <c r="Q432" s="86"/>
      <c r="R432" s="87">
        <f>J432/J434*100</f>
        <v>100</v>
      </c>
      <c r="S432" s="87"/>
      <c r="T432" s="87"/>
      <c r="U432" s="219"/>
      <c r="V432" s="218">
        <v>238372</v>
      </c>
      <c r="W432" s="86"/>
      <c r="X432" s="86"/>
      <c r="Y432" s="86"/>
      <c r="Z432" s="86"/>
      <c r="AA432" s="86"/>
      <c r="AB432" s="86"/>
      <c r="AC432" s="86"/>
      <c r="AD432" s="88">
        <f>V432/V434*100</f>
        <v>43.762151206446134</v>
      </c>
      <c r="AE432" s="88"/>
      <c r="AF432" s="88"/>
      <c r="AG432" s="220"/>
      <c r="AH432" s="221">
        <f>J432-V432</f>
        <v>-66969</v>
      </c>
      <c r="AI432" s="221"/>
      <c r="AJ432" s="221"/>
      <c r="AK432" s="221"/>
      <c r="AL432" s="221"/>
      <c r="AM432" s="221"/>
      <c r="AN432" s="221"/>
      <c r="AO432" s="119"/>
      <c r="AP432" s="35" t="str">
        <f>IF(AH432&gt;0,"POVEĆANJE","SMANJENJE")</f>
        <v>SMANJENJE</v>
      </c>
      <c r="AQ432" s="119"/>
      <c r="AR432" s="119"/>
      <c r="AS432" s="119"/>
      <c r="AT432" s="119"/>
    </row>
    <row r="433" spans="1:55" s="48" customFormat="1" ht="15.75" x14ac:dyDescent="0.25">
      <c r="A433" s="222">
        <v>3</v>
      </c>
      <c r="B433" s="223" t="s">
        <v>120</v>
      </c>
      <c r="C433" s="93"/>
      <c r="D433" s="93"/>
      <c r="E433" s="93"/>
      <c r="F433" s="93"/>
      <c r="G433" s="94"/>
      <c r="H433" s="95"/>
      <c r="I433" s="224"/>
      <c r="J433" s="225">
        <f>[1]GotTok_Direkt!AC62</f>
        <v>0</v>
      </c>
      <c r="K433" s="97"/>
      <c r="L433" s="97"/>
      <c r="M433" s="97"/>
      <c r="N433" s="97"/>
      <c r="O433" s="97"/>
      <c r="P433" s="97"/>
      <c r="Q433" s="97"/>
      <c r="R433" s="98">
        <f>J433/J434*100</f>
        <v>0</v>
      </c>
      <c r="S433" s="98"/>
      <c r="T433" s="98"/>
      <c r="U433" s="226"/>
      <c r="V433" s="225">
        <v>0</v>
      </c>
      <c r="W433" s="97"/>
      <c r="X433" s="97"/>
      <c r="Y433" s="97"/>
      <c r="Z433" s="97"/>
      <c r="AA433" s="97"/>
      <c r="AB433" s="97"/>
      <c r="AC433" s="97"/>
      <c r="AD433" s="99">
        <f>V433/V434*100</f>
        <v>0</v>
      </c>
      <c r="AE433" s="99"/>
      <c r="AF433" s="99"/>
      <c r="AG433" s="227"/>
      <c r="AH433" s="228">
        <f>J433-V433</f>
        <v>0</v>
      </c>
      <c r="AI433" s="228"/>
      <c r="AJ433" s="228"/>
      <c r="AK433" s="228"/>
      <c r="AL433" s="228"/>
      <c r="AM433" s="228"/>
      <c r="AN433" s="228"/>
      <c r="AO433" s="119"/>
      <c r="AP433" s="35" t="str">
        <f>IF(AH433&gt;0,"POVEĆANJE","SMANJENJE")</f>
        <v>SMANJENJE</v>
      </c>
      <c r="AQ433" s="119"/>
      <c r="AR433" s="119"/>
      <c r="AS433" s="119"/>
      <c r="AT433" s="119"/>
    </row>
    <row r="434" spans="1:55" s="48" customFormat="1" ht="15.75" x14ac:dyDescent="0.25">
      <c r="A434" s="229">
        <v>4</v>
      </c>
      <c r="B434" s="230" t="s">
        <v>121</v>
      </c>
      <c r="C434" s="231"/>
      <c r="D434" s="231"/>
      <c r="E434" s="231"/>
      <c r="F434" s="231"/>
      <c r="G434" s="232"/>
      <c r="H434" s="232"/>
      <c r="I434" s="233"/>
      <c r="J434" s="234">
        <f>SUM(J431:Q433)</f>
        <v>171403</v>
      </c>
      <c r="K434" s="107"/>
      <c r="L434" s="107"/>
      <c r="M434" s="107"/>
      <c r="N434" s="107"/>
      <c r="O434" s="107"/>
      <c r="P434" s="107"/>
      <c r="Q434" s="107"/>
      <c r="R434" s="235">
        <f>J434/J434*100</f>
        <v>100</v>
      </c>
      <c r="S434" s="235"/>
      <c r="T434" s="235"/>
      <c r="U434" s="236"/>
      <c r="V434" s="234">
        <f>SUM(V431:AC433)</f>
        <v>544699</v>
      </c>
      <c r="W434" s="107"/>
      <c r="X434" s="107"/>
      <c r="Y434" s="107"/>
      <c r="Z434" s="107"/>
      <c r="AA434" s="107"/>
      <c r="AB434" s="107"/>
      <c r="AC434" s="107"/>
      <c r="AD434" s="235">
        <f>V434/V434*100</f>
        <v>100</v>
      </c>
      <c r="AE434" s="235"/>
      <c r="AF434" s="235"/>
      <c r="AG434" s="236"/>
      <c r="AH434" s="237">
        <f>J434-V434</f>
        <v>-373296</v>
      </c>
      <c r="AI434" s="237"/>
      <c r="AJ434" s="237"/>
      <c r="AK434" s="237"/>
      <c r="AL434" s="237"/>
      <c r="AM434" s="237"/>
      <c r="AN434" s="237"/>
      <c r="AO434" s="238"/>
      <c r="AP434" s="239" t="str">
        <f>IF(AH434&gt;0,"POVEĆANJE","SMANJENJE")</f>
        <v>SMANJENJE</v>
      </c>
      <c r="AQ434" s="119"/>
      <c r="AR434" s="119"/>
      <c r="AS434" s="119"/>
      <c r="AT434" s="119"/>
    </row>
    <row r="435" spans="1:55" s="48" customFormat="1" ht="14.25" x14ac:dyDescent="0.2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</row>
    <row r="436" spans="1:55" s="48" customFormat="1" ht="14.25" x14ac:dyDescent="0.2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</row>
    <row r="437" spans="1:55" s="48" customFormat="1" ht="14.25" x14ac:dyDescent="0.2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</row>
    <row r="438" spans="1:55" s="48" customFormat="1" ht="14.25" x14ac:dyDescent="0.2">
      <c r="A438" s="119" t="str">
        <f>"Pregled novčanih tokova po vrstama aktivnosti "&amp;"u "&amp;[1]UnosPod!U1-1&amp;".godini."</f>
        <v>Pregled novčanih tokova po vrstama aktivnosti u 2011.godini.</v>
      </c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</row>
    <row r="439" spans="1:55" s="48" customFormat="1" ht="14.25" x14ac:dyDescent="0.2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</row>
    <row r="440" spans="1:55" s="48" customFormat="1" ht="15.75" x14ac:dyDescent="0.25">
      <c r="A440" s="194" t="s">
        <v>26</v>
      </c>
      <c r="B440" s="195"/>
      <c r="C440" s="195"/>
      <c r="D440" s="195"/>
      <c r="E440" s="195"/>
      <c r="F440" s="195"/>
      <c r="G440" s="195"/>
      <c r="H440" s="195"/>
      <c r="I440" s="195"/>
      <c r="J440" s="196" t="s">
        <v>113</v>
      </c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 t="s">
        <v>114</v>
      </c>
      <c r="W440" s="196"/>
      <c r="X440" s="196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7" t="s">
        <v>115</v>
      </c>
      <c r="AI440" s="198"/>
      <c r="AJ440" s="198"/>
      <c r="AK440" s="198"/>
      <c r="AL440" s="198"/>
      <c r="AM440" s="198"/>
      <c r="AN440" s="198"/>
      <c r="AO440" s="119"/>
      <c r="AP440" s="119"/>
      <c r="AQ440" s="119"/>
      <c r="AR440" s="119"/>
      <c r="AS440" s="119"/>
      <c r="AT440" s="119"/>
    </row>
    <row r="441" spans="1:55" s="48" customFormat="1" x14ac:dyDescent="0.25">
      <c r="A441" s="199" t="s">
        <v>30</v>
      </c>
      <c r="B441" s="200" t="s">
        <v>116</v>
      </c>
      <c r="C441" s="200"/>
      <c r="D441" s="200"/>
      <c r="E441" s="200"/>
      <c r="F441" s="200"/>
      <c r="G441" s="200"/>
      <c r="H441" s="200"/>
      <c r="I441" s="200"/>
      <c r="J441" s="201" t="s">
        <v>32</v>
      </c>
      <c r="K441" s="60"/>
      <c r="L441" s="60"/>
      <c r="M441" s="60"/>
      <c r="N441" s="60"/>
      <c r="O441" s="60"/>
      <c r="P441" s="60"/>
      <c r="Q441" s="60"/>
      <c r="R441" s="63" t="s">
        <v>33</v>
      </c>
      <c r="S441" s="63"/>
      <c r="T441" s="63"/>
      <c r="U441" s="64"/>
      <c r="V441" s="201" t="s">
        <v>32</v>
      </c>
      <c r="W441" s="60"/>
      <c r="X441" s="60"/>
      <c r="Y441" s="60"/>
      <c r="Z441" s="60"/>
      <c r="AA441" s="60"/>
      <c r="AB441" s="60"/>
      <c r="AC441" s="60"/>
      <c r="AD441" s="63" t="s">
        <v>33</v>
      </c>
      <c r="AE441" s="63"/>
      <c r="AF441" s="63"/>
      <c r="AG441" s="64"/>
      <c r="AH441" s="202" t="s">
        <v>117</v>
      </c>
      <c r="AI441" s="203"/>
      <c r="AJ441" s="203"/>
      <c r="AK441" s="203"/>
      <c r="AL441" s="203"/>
      <c r="AM441" s="203"/>
      <c r="AN441" s="203"/>
      <c r="AO441" s="119"/>
      <c r="AP441" s="119"/>
      <c r="AQ441" s="119"/>
      <c r="AR441" s="119"/>
      <c r="AS441" s="119"/>
      <c r="AT441" s="119"/>
    </row>
    <row r="442" spans="1:55" s="48" customFormat="1" ht="14.25" x14ac:dyDescent="0.2">
      <c r="A442" s="204">
        <v>0</v>
      </c>
      <c r="B442" s="205">
        <v>1</v>
      </c>
      <c r="C442" s="205"/>
      <c r="D442" s="205"/>
      <c r="E442" s="205"/>
      <c r="F442" s="205"/>
      <c r="G442" s="205"/>
      <c r="H442" s="205"/>
      <c r="I442" s="205"/>
      <c r="J442" s="206">
        <v>2</v>
      </c>
      <c r="K442" s="67"/>
      <c r="L442" s="67"/>
      <c r="M442" s="67"/>
      <c r="N442" s="67"/>
      <c r="O442" s="67"/>
      <c r="P442" s="67"/>
      <c r="Q442" s="67"/>
      <c r="R442" s="67">
        <v>3</v>
      </c>
      <c r="S442" s="67"/>
      <c r="T442" s="67"/>
      <c r="U442" s="68"/>
      <c r="V442" s="206">
        <v>4</v>
      </c>
      <c r="W442" s="67"/>
      <c r="X442" s="67"/>
      <c r="Y442" s="67"/>
      <c r="Z442" s="67"/>
      <c r="AA442" s="67"/>
      <c r="AB442" s="67"/>
      <c r="AC442" s="67"/>
      <c r="AD442" s="67">
        <v>5</v>
      </c>
      <c r="AE442" s="67"/>
      <c r="AF442" s="67"/>
      <c r="AG442" s="68"/>
      <c r="AH442" s="207">
        <v>6</v>
      </c>
      <c r="AI442" s="207"/>
      <c r="AJ442" s="207"/>
      <c r="AK442" s="207"/>
      <c r="AL442" s="207"/>
      <c r="AM442" s="207"/>
      <c r="AN442" s="207"/>
      <c r="AO442" s="119"/>
      <c r="AP442" s="119"/>
      <c r="AQ442" s="119"/>
      <c r="AR442" s="119"/>
      <c r="AS442" s="119"/>
      <c r="AT442" s="119"/>
    </row>
    <row r="443" spans="1:55" s="48" customFormat="1" ht="15.75" x14ac:dyDescent="0.25">
      <c r="A443" s="208">
        <v>1</v>
      </c>
      <c r="B443" s="209" t="s">
        <v>118</v>
      </c>
      <c r="C443" s="71"/>
      <c r="D443" s="71"/>
      <c r="E443" s="71"/>
      <c r="F443" s="71"/>
      <c r="G443" s="72"/>
      <c r="H443" s="73"/>
      <c r="I443" s="210"/>
      <c r="J443" s="211">
        <v>117563</v>
      </c>
      <c r="K443" s="75"/>
      <c r="L443" s="75"/>
      <c r="M443" s="75"/>
      <c r="N443" s="75"/>
      <c r="O443" s="75"/>
      <c r="P443" s="75"/>
      <c r="Q443" s="75"/>
      <c r="R443" s="76">
        <f>J443/J446*100</f>
        <v>100</v>
      </c>
      <c r="S443" s="76"/>
      <c r="T443" s="76"/>
      <c r="U443" s="212"/>
      <c r="V443" s="211">
        <f>[1]GotTok_Direkt!AI34</f>
        <v>0</v>
      </c>
      <c r="W443" s="75"/>
      <c r="X443" s="75"/>
      <c r="Y443" s="75"/>
      <c r="Z443" s="75"/>
      <c r="AA443" s="75"/>
      <c r="AB443" s="75"/>
      <c r="AC443" s="75"/>
      <c r="AD443" s="77">
        <f>V443/V446*100</f>
        <v>0</v>
      </c>
      <c r="AE443" s="77"/>
      <c r="AF443" s="77"/>
      <c r="AG443" s="213"/>
      <c r="AH443" s="214">
        <f>J443-V443</f>
        <v>117563</v>
      </c>
      <c r="AI443" s="214"/>
      <c r="AJ443" s="214"/>
      <c r="AK443" s="214"/>
      <c r="AL443" s="214"/>
      <c r="AM443" s="214"/>
      <c r="AN443" s="214"/>
      <c r="AO443" s="119"/>
      <c r="AP443" s="35" t="str">
        <f>IF(AH443&gt;0,"POVEĆANJE","SMANJENJE")</f>
        <v>POVEĆANJE</v>
      </c>
      <c r="AQ443" s="119"/>
      <c r="AR443" s="119"/>
      <c r="AS443" s="119"/>
      <c r="AT443" s="119"/>
    </row>
    <row r="444" spans="1:55" s="48" customFormat="1" ht="15.75" x14ac:dyDescent="0.25">
      <c r="A444" s="215">
        <v>2</v>
      </c>
      <c r="B444" s="216" t="s">
        <v>119</v>
      </c>
      <c r="C444" s="82"/>
      <c r="D444" s="82"/>
      <c r="E444" s="82"/>
      <c r="F444" s="82"/>
      <c r="G444" s="83"/>
      <c r="H444" s="84"/>
      <c r="I444" s="217"/>
      <c r="J444" s="218">
        <v>0</v>
      </c>
      <c r="K444" s="86"/>
      <c r="L444" s="86"/>
      <c r="M444" s="86"/>
      <c r="N444" s="86"/>
      <c r="O444" s="86"/>
      <c r="P444" s="86"/>
      <c r="Q444" s="86"/>
      <c r="R444" s="87">
        <f>J444/J446*100</f>
        <v>0</v>
      </c>
      <c r="S444" s="87"/>
      <c r="T444" s="87"/>
      <c r="U444" s="219"/>
      <c r="V444" s="218">
        <v>481431</v>
      </c>
      <c r="W444" s="86"/>
      <c r="X444" s="86"/>
      <c r="Y444" s="86"/>
      <c r="Z444" s="86"/>
      <c r="AA444" s="86"/>
      <c r="AB444" s="86"/>
      <c r="AC444" s="86"/>
      <c r="AD444" s="88">
        <f>V444/V446*100</f>
        <v>100</v>
      </c>
      <c r="AE444" s="88"/>
      <c r="AF444" s="88"/>
      <c r="AG444" s="220"/>
      <c r="AH444" s="221">
        <f>J444-V444</f>
        <v>-481431</v>
      </c>
      <c r="AI444" s="221"/>
      <c r="AJ444" s="221"/>
      <c r="AK444" s="221"/>
      <c r="AL444" s="221"/>
      <c r="AM444" s="221"/>
      <c r="AN444" s="221"/>
      <c r="AO444" s="119"/>
      <c r="AP444" s="35" t="str">
        <f>IF(AH444&gt;0,"POVEĆANJE","SMANJENJE")</f>
        <v>SMANJENJE</v>
      </c>
      <c r="AQ444" s="119"/>
      <c r="AR444" s="119"/>
      <c r="AS444" s="119"/>
      <c r="AT444" s="119"/>
    </row>
    <row r="445" spans="1:55" s="48" customFormat="1" ht="15.75" x14ac:dyDescent="0.25">
      <c r="A445" s="222">
        <v>3</v>
      </c>
      <c r="B445" s="223" t="s">
        <v>120</v>
      </c>
      <c r="C445" s="93"/>
      <c r="D445" s="93"/>
      <c r="E445" s="93"/>
      <c r="F445" s="93"/>
      <c r="G445" s="94"/>
      <c r="H445" s="95"/>
      <c r="I445" s="224"/>
      <c r="J445" s="225">
        <f>[1]GotTok_Direkt!AI62</f>
        <v>0</v>
      </c>
      <c r="K445" s="97"/>
      <c r="L445" s="97"/>
      <c r="M445" s="97"/>
      <c r="N445" s="97"/>
      <c r="O445" s="97"/>
      <c r="P445" s="97"/>
      <c r="Q445" s="97"/>
      <c r="R445" s="98">
        <f>J445/J446*100</f>
        <v>0</v>
      </c>
      <c r="S445" s="98"/>
      <c r="T445" s="98"/>
      <c r="U445" s="226"/>
      <c r="V445" s="225">
        <v>0</v>
      </c>
      <c r="W445" s="97"/>
      <c r="X445" s="97"/>
      <c r="Y445" s="97"/>
      <c r="Z445" s="97"/>
      <c r="AA445" s="97"/>
      <c r="AB445" s="97"/>
      <c r="AC445" s="97"/>
      <c r="AD445" s="99">
        <f>V445/V446*100</f>
        <v>0</v>
      </c>
      <c r="AE445" s="99"/>
      <c r="AF445" s="99"/>
      <c r="AG445" s="227"/>
      <c r="AH445" s="228">
        <f>J445-V445</f>
        <v>0</v>
      </c>
      <c r="AI445" s="228"/>
      <c r="AJ445" s="228"/>
      <c r="AK445" s="228"/>
      <c r="AL445" s="228"/>
      <c r="AM445" s="228"/>
      <c r="AN445" s="228"/>
      <c r="AO445" s="119"/>
      <c r="AP445" s="35" t="str">
        <f>IF(AH445&gt;0,"POVEĆANJE","SMANJENJE")</f>
        <v>SMANJENJE</v>
      </c>
      <c r="AQ445" s="119"/>
      <c r="AR445" s="119"/>
      <c r="AS445" s="119"/>
      <c r="AT445" s="119"/>
    </row>
    <row r="446" spans="1:55" s="48" customFormat="1" ht="15.75" x14ac:dyDescent="0.25">
      <c r="A446" s="229">
        <v>4</v>
      </c>
      <c r="B446" s="230" t="s">
        <v>121</v>
      </c>
      <c r="C446" s="231"/>
      <c r="D446" s="231"/>
      <c r="E446" s="231"/>
      <c r="F446" s="231"/>
      <c r="G446" s="232"/>
      <c r="H446" s="232"/>
      <c r="I446" s="233"/>
      <c r="J446" s="234">
        <f>SUM(J443:Q445)</f>
        <v>117563</v>
      </c>
      <c r="K446" s="107"/>
      <c r="L446" s="107"/>
      <c r="M446" s="107"/>
      <c r="N446" s="107"/>
      <c r="O446" s="107"/>
      <c r="P446" s="107"/>
      <c r="Q446" s="107"/>
      <c r="R446" s="235">
        <f>J446/J446*100</f>
        <v>100</v>
      </c>
      <c r="S446" s="235"/>
      <c r="T446" s="235"/>
      <c r="U446" s="236"/>
      <c r="V446" s="234">
        <f>SUM(V443:AC445)</f>
        <v>481431</v>
      </c>
      <c r="W446" s="107"/>
      <c r="X446" s="107"/>
      <c r="Y446" s="107"/>
      <c r="Z446" s="107"/>
      <c r="AA446" s="107"/>
      <c r="AB446" s="107"/>
      <c r="AC446" s="107"/>
      <c r="AD446" s="235">
        <f>V446/V446*100</f>
        <v>100</v>
      </c>
      <c r="AE446" s="235"/>
      <c r="AF446" s="235"/>
      <c r="AG446" s="236"/>
      <c r="AH446" s="237">
        <f>J446-V446</f>
        <v>-363868</v>
      </c>
      <c r="AI446" s="237"/>
      <c r="AJ446" s="237"/>
      <c r="AK446" s="237"/>
      <c r="AL446" s="237"/>
      <c r="AM446" s="237"/>
      <c r="AN446" s="237"/>
      <c r="AO446" s="238"/>
      <c r="AP446" s="239" t="str">
        <f>IF(AH446&gt;0,"POVEĆANJE","SMANJENJE")</f>
        <v>SMANJENJE</v>
      </c>
      <c r="AQ446" s="119"/>
      <c r="AR446" s="119"/>
      <c r="AS446" s="119"/>
      <c r="AT446" s="119"/>
    </row>
    <row r="447" spans="1:55" s="48" customFormat="1" ht="14.25" x14ac:dyDescent="0.2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BB447" s="240"/>
      <c r="BC447" s="240"/>
    </row>
    <row r="448" spans="1:55" s="48" customFormat="1" ht="14.25" x14ac:dyDescent="0.2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</row>
    <row r="449" spans="1:46" s="48" customFormat="1" ht="14.25" x14ac:dyDescent="0.2">
      <c r="A449" s="119" t="s">
        <v>122</v>
      </c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</row>
    <row r="450" spans="1:46" s="48" customFormat="1" ht="14.25" x14ac:dyDescent="0.2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</row>
    <row r="451" spans="1:46" s="48" customFormat="1" ht="14.25" x14ac:dyDescent="0.2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</row>
    <row r="452" spans="1:46" s="48" customFormat="1" ht="14.25" x14ac:dyDescent="0.2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</row>
    <row r="453" spans="1:46" s="48" customFormat="1" ht="14.25" x14ac:dyDescent="0.2">
      <c r="A453" s="119"/>
      <c r="B453" s="119"/>
      <c r="C453" s="119"/>
      <c r="D453" s="119"/>
      <c r="E453" s="119"/>
      <c r="F453" s="119"/>
      <c r="G453" s="119"/>
      <c r="H453" s="119"/>
      <c r="I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</row>
    <row r="454" spans="1:46" s="48" customFormat="1" ht="14.25" x14ac:dyDescent="0.2">
      <c r="A454" s="119"/>
      <c r="B454" s="119"/>
      <c r="C454" s="119"/>
      <c r="D454" s="119"/>
      <c r="E454" s="119"/>
      <c r="F454" s="119"/>
      <c r="G454" s="119"/>
      <c r="H454" s="119"/>
      <c r="I454" s="119"/>
      <c r="K454" s="48">
        <f>[1]UnosPod!U1</f>
        <v>2012</v>
      </c>
      <c r="L454" s="48">
        <f>[1]UnosPod!U1-1</f>
        <v>2011</v>
      </c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</row>
    <row r="455" spans="1:46" s="48" customFormat="1" ht="14.25" x14ac:dyDescent="0.2">
      <c r="A455" s="119"/>
      <c r="B455" s="119"/>
      <c r="C455" s="119"/>
      <c r="D455" s="119"/>
      <c r="E455" s="119"/>
      <c r="F455" s="119"/>
      <c r="G455" s="119"/>
      <c r="H455" s="119"/>
      <c r="I455" s="119"/>
      <c r="J455" s="48" t="s">
        <v>123</v>
      </c>
      <c r="K455" s="241">
        <f>J434</f>
        <v>171403</v>
      </c>
      <c r="L455" s="241">
        <f>J446</f>
        <v>117563</v>
      </c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</row>
    <row r="456" spans="1:46" s="48" customFormat="1" ht="14.25" x14ac:dyDescent="0.2">
      <c r="A456" s="119"/>
      <c r="B456" s="119"/>
      <c r="C456" s="119"/>
      <c r="D456" s="119"/>
      <c r="E456" s="119"/>
      <c r="F456" s="119"/>
      <c r="G456" s="119"/>
      <c r="H456" s="119"/>
      <c r="I456" s="119"/>
      <c r="J456" s="48" t="s">
        <v>124</v>
      </c>
      <c r="K456" s="241">
        <f>V434</f>
        <v>544699</v>
      </c>
      <c r="L456" s="241">
        <f>V446</f>
        <v>481431</v>
      </c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</row>
    <row r="457" spans="1:46" s="48" customFormat="1" ht="14.25" x14ac:dyDescent="0.2">
      <c r="A457" s="119"/>
      <c r="B457" s="119"/>
      <c r="C457" s="119"/>
      <c r="D457" s="119"/>
      <c r="E457" s="119"/>
      <c r="F457" s="119"/>
      <c r="G457" s="119"/>
      <c r="H457" s="119"/>
      <c r="I457" s="119"/>
      <c r="K457" s="241"/>
      <c r="L457" s="241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</row>
    <row r="458" spans="1:46" s="48" customFormat="1" ht="14.25" x14ac:dyDescent="0.2">
      <c r="A458" s="119"/>
      <c r="B458" s="119"/>
      <c r="C458" s="119"/>
      <c r="D458" s="119"/>
      <c r="E458" s="119"/>
      <c r="F458" s="119"/>
      <c r="G458" s="119"/>
      <c r="H458" s="119"/>
      <c r="I458" s="119"/>
      <c r="K458" s="241"/>
      <c r="L458" s="241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</row>
    <row r="459" spans="1:46" s="48" customFormat="1" ht="14.25" x14ac:dyDescent="0.2">
      <c r="A459" s="119"/>
      <c r="B459" s="119"/>
      <c r="C459" s="119"/>
      <c r="D459" s="119"/>
      <c r="E459" s="119"/>
      <c r="F459" s="119"/>
      <c r="G459" s="119"/>
      <c r="H459" s="119"/>
      <c r="I459" s="119"/>
      <c r="K459" s="241"/>
      <c r="L459" s="241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</row>
    <row r="460" spans="1:46" s="48" customFormat="1" ht="14.25" x14ac:dyDescent="0.2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</row>
    <row r="461" spans="1:46" s="48" customFormat="1" ht="14.25" x14ac:dyDescent="0.2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</row>
    <row r="462" spans="1:46" s="48" customFormat="1" ht="14.25" x14ac:dyDescent="0.2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</row>
    <row r="463" spans="1:46" s="48" customFormat="1" ht="14.25" x14ac:dyDescent="0.2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</row>
    <row r="464" spans="1:46" s="48" customFormat="1" ht="14.25" x14ac:dyDescent="0.2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</row>
    <row r="465" spans="1:46" s="48" customFormat="1" ht="14.25" x14ac:dyDescent="0.2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</row>
    <row r="466" spans="1:46" s="48" customFormat="1" ht="14.25" x14ac:dyDescent="0.2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</row>
    <row r="467" spans="1:46" s="48" customFormat="1" ht="14.25" x14ac:dyDescent="0.2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</row>
    <row r="468" spans="1:46" s="48" customFormat="1" ht="14.25" x14ac:dyDescent="0.2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</row>
    <row r="469" spans="1:46" s="48" customFormat="1" ht="14.25" x14ac:dyDescent="0.2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</row>
    <row r="470" spans="1:46" s="48" customFormat="1" ht="14.25" x14ac:dyDescent="0.2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</row>
    <row r="471" spans="1:46" s="48" customFormat="1" ht="14.25" x14ac:dyDescent="0.2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</row>
    <row r="472" spans="1:46" s="48" customFormat="1" ht="14.25" x14ac:dyDescent="0.2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</row>
    <row r="473" spans="1:46" s="48" customFormat="1" ht="14.25" x14ac:dyDescent="0.2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</row>
    <row r="474" spans="1:46" s="48" customFormat="1" x14ac:dyDescent="0.25">
      <c r="A474" s="238"/>
      <c r="B474" s="238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</row>
    <row r="476" spans="1:46" ht="18" x14ac:dyDescent="0.25">
      <c r="A476" s="42"/>
      <c r="B476" s="43" t="s">
        <v>125</v>
      </c>
      <c r="C476" s="143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6"/>
    </row>
    <row r="479" spans="1:46" x14ac:dyDescent="0.25">
      <c r="B479" s="242" t="s">
        <v>126</v>
      </c>
    </row>
    <row r="481" spans="1:51" ht="12.75" customHeight="1" x14ac:dyDescent="0.25">
      <c r="A481" s="243" t="s">
        <v>127</v>
      </c>
      <c r="B481" s="243"/>
      <c r="C481" s="243"/>
      <c r="D481" s="243"/>
      <c r="E481" s="243"/>
      <c r="F481" s="243"/>
      <c r="G481" s="243"/>
      <c r="H481" s="243"/>
      <c r="I481" s="243"/>
      <c r="J481" s="243"/>
      <c r="K481" s="243"/>
      <c r="L481" s="243"/>
      <c r="M481" s="243"/>
      <c r="N481" s="118"/>
      <c r="O481" s="118" t="s">
        <v>128</v>
      </c>
      <c r="P481" s="118"/>
      <c r="Q481" s="118"/>
      <c r="R481" s="118"/>
      <c r="S481" s="118"/>
      <c r="T481" s="118"/>
      <c r="U481" s="118"/>
      <c r="V481" s="118"/>
      <c r="W481" s="118"/>
      <c r="X481" s="244" t="s">
        <v>129</v>
      </c>
      <c r="Y481" s="244"/>
      <c r="Z481" s="244"/>
      <c r="AA481" s="244"/>
      <c r="AB481" s="245"/>
      <c r="AC481" s="245"/>
      <c r="AD481" s="245"/>
      <c r="AE481" s="245"/>
      <c r="AF481" s="245"/>
      <c r="AG481" s="245"/>
      <c r="AH481" s="245"/>
      <c r="AI481" s="245"/>
    </row>
    <row r="482" spans="1:51" ht="14.25" customHeight="1" x14ac:dyDescent="0.25">
      <c r="A482" s="243"/>
      <c r="B482" s="243"/>
      <c r="C482" s="243"/>
      <c r="D482" s="243"/>
      <c r="E482" s="243"/>
      <c r="F482" s="243"/>
      <c r="G482" s="243"/>
      <c r="H482" s="243"/>
      <c r="I482" s="243"/>
      <c r="J482" s="243"/>
      <c r="K482" s="243"/>
      <c r="L482" s="243"/>
      <c r="M482" s="243"/>
      <c r="N482" s="246"/>
      <c r="O482" s="246"/>
      <c r="P482" s="246" t="s">
        <v>130</v>
      </c>
      <c r="Q482" s="246"/>
      <c r="R482" s="246"/>
      <c r="S482" s="246"/>
      <c r="T482" s="246"/>
      <c r="U482" s="246"/>
      <c r="V482" s="246"/>
      <c r="W482" s="246"/>
      <c r="X482" s="244"/>
      <c r="Y482" s="244"/>
      <c r="Z482" s="244"/>
      <c r="AA482" s="244"/>
      <c r="AB482" s="245"/>
      <c r="AC482" s="245"/>
      <c r="AD482" s="245"/>
      <c r="AE482" s="245"/>
      <c r="AF482" s="245"/>
      <c r="AG482" s="245"/>
      <c r="AH482" s="245"/>
      <c r="AI482" s="245"/>
    </row>
    <row r="483" spans="1:51" x14ac:dyDescent="0.25">
      <c r="AJ483" s="247"/>
      <c r="AK483" s="247"/>
      <c r="AL483" s="247"/>
      <c r="AM483" s="247"/>
      <c r="AN483" s="247"/>
      <c r="AO483" s="247"/>
      <c r="AP483" s="247"/>
      <c r="AQ483" s="247"/>
      <c r="AR483" s="247"/>
      <c r="AS483" s="247"/>
      <c r="AT483" s="247"/>
      <c r="AU483" s="247"/>
    </row>
    <row r="484" spans="1:51" ht="12.75" customHeight="1" x14ac:dyDescent="0.25">
      <c r="J484" s="244" t="str">
        <f>[1]UnosPod!U1&amp;" ="</f>
        <v>2012 =</v>
      </c>
      <c r="K484" s="244"/>
      <c r="L484" s="244"/>
      <c r="M484" s="244"/>
      <c r="N484" s="248">
        <f>R184-R185</f>
        <v>110087</v>
      </c>
      <c r="O484" s="248"/>
      <c r="P484" s="248"/>
      <c r="Q484" s="248"/>
      <c r="R484" s="248"/>
      <c r="S484" s="248"/>
      <c r="T484" s="248"/>
      <c r="U484" s="248"/>
      <c r="V484" s="248"/>
      <c r="W484" s="248"/>
      <c r="X484" s="244" t="s">
        <v>129</v>
      </c>
      <c r="Y484" s="244"/>
      <c r="Z484" s="244"/>
      <c r="AA484" s="244"/>
      <c r="AB484" s="249">
        <f>N484/N485</f>
        <v>0.29140791233880775</v>
      </c>
      <c r="AC484" s="249"/>
      <c r="AD484" s="249"/>
      <c r="AE484" s="249"/>
      <c r="AF484" s="250"/>
      <c r="AG484" s="250"/>
      <c r="AH484" s="250"/>
      <c r="AI484" s="250"/>
      <c r="AJ484" s="251" t="str">
        <f>IF(AB484-AB487&gt;0,"POVEĆAN","SMANJEN")</f>
        <v>SMANJEN</v>
      </c>
      <c r="AK484" s="114"/>
      <c r="AL484" s="115"/>
      <c r="AM484" s="115"/>
      <c r="AN484" s="115"/>
      <c r="AO484" s="116">
        <f>ROUND(IF(AB484/AB487&gt;1,AB484/AB487*100-100,100-(AB484/AB487*100)),1)</f>
        <v>31.1</v>
      </c>
      <c r="AP484" s="116"/>
      <c r="AQ484" s="116"/>
      <c r="AR484" s="116"/>
      <c r="AS484" s="116"/>
      <c r="AT484" s="114" t="s">
        <v>33</v>
      </c>
      <c r="AU484" s="114"/>
      <c r="AY484" s="252"/>
    </row>
    <row r="485" spans="1:51" ht="12.75" customHeight="1" x14ac:dyDescent="0.25">
      <c r="J485" s="244"/>
      <c r="K485" s="244"/>
      <c r="L485" s="244"/>
      <c r="M485" s="244"/>
      <c r="N485" s="253">
        <f>R100</f>
        <v>377776.29</v>
      </c>
      <c r="O485" s="253"/>
      <c r="P485" s="253"/>
      <c r="Q485" s="253"/>
      <c r="R485" s="253"/>
      <c r="S485" s="253"/>
      <c r="T485" s="253"/>
      <c r="U485" s="253"/>
      <c r="V485" s="253"/>
      <c r="W485" s="253"/>
      <c r="X485" s="244"/>
      <c r="Y485" s="244"/>
      <c r="Z485" s="244"/>
      <c r="AA485" s="244"/>
      <c r="AB485" s="249"/>
      <c r="AC485" s="249"/>
      <c r="AD485" s="249"/>
      <c r="AE485" s="249"/>
      <c r="AF485" s="250"/>
      <c r="AG485" s="250"/>
      <c r="AH485" s="250"/>
      <c r="AI485" s="250"/>
      <c r="AJ485" s="247"/>
      <c r="AK485" s="247"/>
      <c r="AL485" s="247"/>
      <c r="AM485" s="247"/>
      <c r="AN485" s="247"/>
      <c r="AO485" s="254"/>
      <c r="AP485" s="254"/>
      <c r="AQ485" s="254"/>
      <c r="AR485" s="254"/>
      <c r="AS485" s="254"/>
      <c r="AT485" s="247"/>
      <c r="AU485" s="247"/>
    </row>
    <row r="487" spans="1:51" x14ac:dyDescent="0.25">
      <c r="J487" s="244" t="str">
        <f>[1]UnosPod!U1-1&amp;" ="</f>
        <v>2011 =</v>
      </c>
      <c r="K487" s="244"/>
      <c r="L487" s="244"/>
      <c r="M487" s="244"/>
      <c r="N487" s="248">
        <f>Z184-Z185</f>
        <v>198142</v>
      </c>
      <c r="O487" s="248"/>
      <c r="P487" s="248"/>
      <c r="Q487" s="248"/>
      <c r="R487" s="248"/>
      <c r="S487" s="248"/>
      <c r="T487" s="248"/>
      <c r="U487" s="248"/>
      <c r="V487" s="248"/>
      <c r="W487" s="248"/>
      <c r="X487" s="244" t="s">
        <v>129</v>
      </c>
      <c r="Y487" s="244"/>
      <c r="Z487" s="244"/>
      <c r="AA487" s="244"/>
      <c r="AB487" s="249">
        <f>N487/N488</f>
        <v>0.42271826391570466</v>
      </c>
      <c r="AC487" s="249"/>
      <c r="AD487" s="249"/>
      <c r="AE487" s="249"/>
    </row>
    <row r="488" spans="1:51" x14ac:dyDescent="0.25">
      <c r="J488" s="244"/>
      <c r="K488" s="244"/>
      <c r="L488" s="244"/>
      <c r="M488" s="244"/>
      <c r="N488" s="253">
        <f>AD100</f>
        <v>468733</v>
      </c>
      <c r="O488" s="253"/>
      <c r="P488" s="253"/>
      <c r="Q488" s="253"/>
      <c r="R488" s="253"/>
      <c r="S488" s="253"/>
      <c r="T488" s="253"/>
      <c r="U488" s="253"/>
      <c r="V488" s="253"/>
      <c r="W488" s="253"/>
      <c r="X488" s="244"/>
      <c r="Y488" s="244"/>
      <c r="Z488" s="244"/>
      <c r="AA488" s="244"/>
      <c r="AB488" s="249"/>
      <c r="AC488" s="249"/>
      <c r="AD488" s="249"/>
      <c r="AE488" s="249"/>
    </row>
    <row r="490" spans="1:51" x14ac:dyDescent="0.25">
      <c r="B490" s="118" t="str">
        <f>"U "&amp;[1]UnosPod!P6&amp;"godini, za svakih 100 KM ukupnog prihoda, preduzeće ostvari "&amp;ROUND(AB484*100,2)&amp;" KM bruto dobiti (gubitka)"</f>
        <v>U 2012.godini, za svakih 100 KM ukupnog prihoda, preduzeće ostvari 29,14 KM bruto dobiti (gubitka)</v>
      </c>
    </row>
    <row r="491" spans="1:51" x14ac:dyDescent="0.25">
      <c r="B491" s="118" t="str">
        <f>"U istom periodu prošle godine, za svakih 100 KM ukupnog prihoda ostvarilo je "&amp;ROUND(AB487*100,2)&amp;" KM bruto dobiti (gubitka)."</f>
        <v>U istom periodu prošle godine, za svakih 100 KM ukupnog prihoda ostvarilo je 42,27 KM bruto dobiti (gubitka).</v>
      </c>
    </row>
    <row r="492" spans="1:51" x14ac:dyDescent="0.25">
      <c r="B492" t="str">
        <f>"Ovaj pokazatelj je "&amp;AJ484&amp;" u odnosu na prošlu godinu za "&amp;ROUND(AO484,1)&amp;"%"</f>
        <v>Ovaj pokazatelj je SMANJEN u odnosu na prošlu godinu za 31,1%</v>
      </c>
    </row>
    <row r="495" spans="1:51" ht="12.75" customHeight="1" x14ac:dyDescent="0.25">
      <c r="A495" s="243" t="s">
        <v>127</v>
      </c>
      <c r="B495" s="243"/>
      <c r="C495" s="243"/>
      <c r="D495" s="243"/>
      <c r="E495" s="243"/>
      <c r="F495" s="243"/>
      <c r="G495" s="243"/>
      <c r="H495" s="243"/>
      <c r="I495" s="243"/>
      <c r="J495" s="243"/>
      <c r="K495" s="243"/>
      <c r="L495" s="243"/>
      <c r="M495" s="243"/>
      <c r="N495" s="118"/>
      <c r="O495" s="118" t="s">
        <v>128</v>
      </c>
      <c r="P495" s="118"/>
      <c r="Q495" s="118"/>
      <c r="R495" s="118"/>
      <c r="S495" s="118"/>
      <c r="T495" s="118"/>
      <c r="U495" s="118"/>
      <c r="V495" s="118"/>
      <c r="W495" s="118"/>
      <c r="X495" s="244" t="s">
        <v>129</v>
      </c>
      <c r="Y495" s="244"/>
      <c r="Z495" s="244"/>
      <c r="AA495" s="244"/>
      <c r="AB495" s="245"/>
      <c r="AC495" s="245"/>
      <c r="AD495" s="245"/>
      <c r="AE495" s="245"/>
      <c r="AF495" s="245"/>
      <c r="AG495" s="245"/>
      <c r="AH495" s="245"/>
      <c r="AI495" s="245"/>
    </row>
    <row r="496" spans="1:51" ht="14.25" customHeight="1" x14ac:dyDescent="0.25">
      <c r="A496" s="243"/>
      <c r="B496" s="243"/>
      <c r="C496" s="243"/>
      <c r="D496" s="243"/>
      <c r="E496" s="243"/>
      <c r="F496" s="243"/>
      <c r="G496" s="243"/>
      <c r="H496" s="243"/>
      <c r="I496" s="243"/>
      <c r="J496" s="243"/>
      <c r="K496" s="243"/>
      <c r="L496" s="243"/>
      <c r="M496" s="243"/>
      <c r="N496" s="246"/>
      <c r="O496" s="246" t="s">
        <v>131</v>
      </c>
      <c r="P496" s="246"/>
      <c r="Q496" s="246"/>
      <c r="R496" s="246"/>
      <c r="S496" s="246"/>
      <c r="T496" s="246"/>
      <c r="U496" s="246"/>
      <c r="V496" s="246"/>
      <c r="W496" s="246"/>
      <c r="X496" s="244"/>
      <c r="Y496" s="244"/>
      <c r="Z496" s="244"/>
      <c r="AA496" s="244"/>
      <c r="AB496" s="245"/>
      <c r="AC496" s="245"/>
      <c r="AD496" s="245"/>
      <c r="AE496" s="245"/>
      <c r="AF496" s="245"/>
      <c r="AG496" s="245"/>
      <c r="AH496" s="245"/>
      <c r="AI496" s="245"/>
    </row>
    <row r="497" spans="1:51" x14ac:dyDescent="0.25">
      <c r="AJ497" s="247"/>
      <c r="AK497" s="247"/>
      <c r="AL497" s="247"/>
      <c r="AM497" s="247"/>
      <c r="AN497" s="247"/>
      <c r="AO497" s="247"/>
      <c r="AP497" s="247"/>
      <c r="AQ497" s="247"/>
      <c r="AR497" s="247"/>
      <c r="AS497" s="247"/>
      <c r="AT497" s="247"/>
      <c r="AU497" s="247"/>
    </row>
    <row r="498" spans="1:51" ht="12.75" customHeight="1" x14ac:dyDescent="0.25">
      <c r="J498" s="244" t="str">
        <f>[1]UnosPod!U1&amp;" ="</f>
        <v>2012 =</v>
      </c>
      <c r="K498" s="244"/>
      <c r="L498" s="244"/>
      <c r="M498" s="244"/>
      <c r="N498" s="248">
        <f>R184-R185</f>
        <v>110087</v>
      </c>
      <c r="O498" s="248"/>
      <c r="P498" s="248"/>
      <c r="Q498" s="248"/>
      <c r="R498" s="248"/>
      <c r="S498" s="248"/>
      <c r="T498" s="248"/>
      <c r="U498" s="248"/>
      <c r="V498" s="248"/>
      <c r="W498" s="248"/>
      <c r="X498" s="244" t="s">
        <v>129</v>
      </c>
      <c r="Y498" s="244"/>
      <c r="Z498" s="244"/>
      <c r="AA498" s="244"/>
      <c r="AB498" s="249">
        <f>N498/N499</f>
        <v>0.33844701801456484</v>
      </c>
      <c r="AC498" s="249"/>
      <c r="AD498" s="249"/>
      <c r="AE498" s="249"/>
      <c r="AF498" s="250"/>
      <c r="AG498" s="250"/>
      <c r="AH498" s="250"/>
      <c r="AI498" s="250"/>
      <c r="AJ498" s="251" t="str">
        <f>IF(AB498-AB501&gt;0,"POVEĆAN","SMANJEN")</f>
        <v>SMANJEN</v>
      </c>
      <c r="AK498" s="114"/>
      <c r="AL498" s="115"/>
      <c r="AM498" s="115"/>
      <c r="AN498" s="115"/>
      <c r="AO498" s="116">
        <f>ROUND(IF(AB498/AB501&gt;1,AB498/AB501*100-100,100-(AB498/AB501*100)),1)</f>
        <v>25.8</v>
      </c>
      <c r="AP498" s="116"/>
      <c r="AQ498" s="116"/>
      <c r="AR498" s="116"/>
      <c r="AS498" s="116"/>
      <c r="AT498" s="114" t="s">
        <v>33</v>
      </c>
      <c r="AU498" s="114"/>
      <c r="AY498" s="252"/>
    </row>
    <row r="499" spans="1:51" ht="12.75" customHeight="1" x14ac:dyDescent="0.25">
      <c r="J499" s="244"/>
      <c r="K499" s="244"/>
      <c r="L499" s="244"/>
      <c r="M499" s="244"/>
      <c r="N499" s="253">
        <f>R97+0.00001</f>
        <v>325271.00001000002</v>
      </c>
      <c r="O499" s="253"/>
      <c r="P499" s="253"/>
      <c r="Q499" s="253"/>
      <c r="R499" s="253"/>
      <c r="S499" s="253"/>
      <c r="T499" s="253"/>
      <c r="U499" s="253"/>
      <c r="V499" s="253"/>
      <c r="W499" s="253"/>
      <c r="X499" s="244"/>
      <c r="Y499" s="244"/>
      <c r="Z499" s="244"/>
      <c r="AA499" s="244"/>
      <c r="AB499" s="249"/>
      <c r="AC499" s="249"/>
      <c r="AD499" s="249"/>
      <c r="AE499" s="249"/>
      <c r="AF499" s="250"/>
      <c r="AG499" s="250"/>
      <c r="AH499" s="250"/>
      <c r="AI499" s="250"/>
      <c r="AJ499" s="247"/>
      <c r="AK499" s="247"/>
      <c r="AL499" s="247"/>
      <c r="AM499" s="247"/>
      <c r="AN499" s="247"/>
      <c r="AO499" s="254"/>
      <c r="AP499" s="254"/>
      <c r="AQ499" s="254"/>
      <c r="AR499" s="254"/>
      <c r="AS499" s="254"/>
      <c r="AT499" s="247"/>
      <c r="AU499" s="247"/>
    </row>
    <row r="501" spans="1:51" x14ac:dyDescent="0.25">
      <c r="J501" s="244" t="str">
        <f>[1]UnosPod!U1-1&amp;" ="</f>
        <v>2011 =</v>
      </c>
      <c r="K501" s="244"/>
      <c r="L501" s="244"/>
      <c r="M501" s="244"/>
      <c r="N501" s="248">
        <f>Z184-Z185</f>
        <v>198142</v>
      </c>
      <c r="O501" s="248"/>
      <c r="P501" s="248"/>
      <c r="Q501" s="248"/>
      <c r="R501" s="248"/>
      <c r="S501" s="248"/>
      <c r="T501" s="248"/>
      <c r="U501" s="248"/>
      <c r="V501" s="248"/>
      <c r="W501" s="248"/>
      <c r="X501" s="244" t="s">
        <v>129</v>
      </c>
      <c r="Y501" s="244"/>
      <c r="Z501" s="244"/>
      <c r="AA501" s="244"/>
      <c r="AB501" s="249">
        <f>N501/N502</f>
        <v>0.45631812518462728</v>
      </c>
      <c r="AC501" s="249"/>
      <c r="AD501" s="249"/>
      <c r="AE501" s="249"/>
    </row>
    <row r="502" spans="1:51" x14ac:dyDescent="0.25">
      <c r="J502" s="244"/>
      <c r="K502" s="244"/>
      <c r="L502" s="244"/>
      <c r="M502" s="244"/>
      <c r="N502" s="253">
        <f>AD97+0.000001</f>
        <v>434219.00000100001</v>
      </c>
      <c r="O502" s="253"/>
      <c r="P502" s="253"/>
      <c r="Q502" s="253"/>
      <c r="R502" s="253"/>
      <c r="S502" s="253"/>
      <c r="T502" s="253"/>
      <c r="U502" s="253"/>
      <c r="V502" s="253"/>
      <c r="W502" s="253"/>
      <c r="X502" s="244"/>
      <c r="Y502" s="244"/>
      <c r="Z502" s="244"/>
      <c r="AA502" s="244"/>
      <c r="AB502" s="249"/>
      <c r="AC502" s="249"/>
      <c r="AD502" s="249"/>
      <c r="AE502" s="249"/>
    </row>
    <row r="504" spans="1:51" x14ac:dyDescent="0.25">
      <c r="B504" s="118" t="str">
        <f>"U "&amp;[1]UnosPod!P6&amp;"godini, za svakih 100 KM prihoda od prodaje, preduzeće je ostvarilo "&amp;ROUND(AB498*100,2)&amp;" KM bruto dobiti (gubitka)"</f>
        <v>U 2012.godini, za svakih 100 KM prihoda od prodaje, preduzeće je ostvarilo 33,84 KM bruto dobiti (gubitka)</v>
      </c>
    </row>
    <row r="505" spans="1:51" x14ac:dyDescent="0.25">
      <c r="B505" s="118" t="str">
        <f>"U istom periodu prošle godine, za svakih 100 KM prihoda od prodaje ostvarilo je "&amp;ROUND(AB501*100,2)&amp;" KM bruto dobiti (gubitka)."</f>
        <v>U istom periodu prošle godine, za svakih 100 KM prihoda od prodaje ostvarilo je 45,63 KM bruto dobiti (gubitka).</v>
      </c>
    </row>
    <row r="506" spans="1:51" x14ac:dyDescent="0.25">
      <c r="B506" t="str">
        <f>"Ovaj pokazatelj je "&amp;AJ498&amp;" u odnosu na prošlu godinu za "&amp;ROUND(AO498,1)&amp;"%"</f>
        <v>Ovaj pokazatelj je SMANJEN u odnosu na prošlu godinu za 25,8%</v>
      </c>
    </row>
    <row r="509" spans="1:51" x14ac:dyDescent="0.25">
      <c r="B509" s="242" t="s">
        <v>132</v>
      </c>
    </row>
    <row r="511" spans="1:51" ht="12.75" customHeight="1" x14ac:dyDescent="0.25">
      <c r="A511" s="243" t="s">
        <v>133</v>
      </c>
      <c r="B511" s="243"/>
      <c r="C511" s="243"/>
      <c r="D511" s="243"/>
      <c r="E511" s="243"/>
      <c r="F511" s="243"/>
      <c r="G511" s="243"/>
      <c r="H511" s="243"/>
      <c r="I511" s="243"/>
      <c r="J511" s="243"/>
      <c r="K511" s="243"/>
      <c r="L511" s="243"/>
      <c r="M511" s="243"/>
      <c r="N511" s="118"/>
      <c r="O511" s="118"/>
      <c r="P511" s="118" t="s">
        <v>130</v>
      </c>
      <c r="Q511" s="118"/>
      <c r="R511" s="118"/>
      <c r="S511" s="118"/>
      <c r="T511" s="118"/>
      <c r="U511" s="118"/>
      <c r="V511" s="118"/>
      <c r="W511" s="118"/>
      <c r="X511" s="244" t="s">
        <v>129</v>
      </c>
      <c r="Y511" s="244"/>
      <c r="Z511" s="244"/>
      <c r="AA511" s="244"/>
      <c r="AB511" s="245"/>
      <c r="AC511" s="245"/>
      <c r="AD511" s="245"/>
      <c r="AE511" s="245"/>
      <c r="AF511" s="245"/>
      <c r="AG511" s="245"/>
      <c r="AH511" s="245"/>
      <c r="AI511" s="245"/>
    </row>
    <row r="512" spans="1:51" ht="14.25" customHeight="1" x14ac:dyDescent="0.25">
      <c r="A512" s="243"/>
      <c r="B512" s="243"/>
      <c r="C512" s="243"/>
      <c r="D512" s="243"/>
      <c r="E512" s="243"/>
      <c r="F512" s="243"/>
      <c r="G512" s="243"/>
      <c r="H512" s="243"/>
      <c r="I512" s="243"/>
      <c r="J512" s="243"/>
      <c r="K512" s="243"/>
      <c r="L512" s="243"/>
      <c r="M512" s="243"/>
      <c r="N512" s="246"/>
      <c r="O512" s="246"/>
      <c r="P512" s="246" t="s">
        <v>134</v>
      </c>
      <c r="Q512" s="246"/>
      <c r="R512" s="246"/>
      <c r="S512" s="246"/>
      <c r="T512" s="246"/>
      <c r="U512" s="246"/>
      <c r="V512" s="246"/>
      <c r="W512" s="246"/>
      <c r="X512" s="244"/>
      <c r="Y512" s="244"/>
      <c r="Z512" s="244"/>
      <c r="AA512" s="244"/>
      <c r="AB512" s="245"/>
      <c r="AC512" s="245"/>
      <c r="AD512" s="245"/>
      <c r="AE512" s="245"/>
      <c r="AF512" s="245"/>
      <c r="AG512" s="245"/>
      <c r="AH512" s="245"/>
      <c r="AI512" s="245"/>
    </row>
    <row r="513" spans="1:51" x14ac:dyDescent="0.25">
      <c r="AJ513" s="247"/>
      <c r="AK513" s="247"/>
      <c r="AL513" s="247"/>
      <c r="AM513" s="247"/>
      <c r="AN513" s="247"/>
      <c r="AO513" s="247"/>
      <c r="AP513" s="247"/>
      <c r="AQ513" s="247"/>
      <c r="AR513" s="247"/>
      <c r="AS513" s="247"/>
      <c r="AT513" s="247"/>
      <c r="AU513" s="247"/>
    </row>
    <row r="514" spans="1:51" ht="12.75" customHeight="1" x14ac:dyDescent="0.25">
      <c r="J514" s="244" t="str">
        <f>[1]UnosPod!U1&amp;" ="</f>
        <v>2012 =</v>
      </c>
      <c r="K514" s="244"/>
      <c r="L514" s="244"/>
      <c r="M514" s="244"/>
      <c r="N514" s="248">
        <f>R100</f>
        <v>377776.29</v>
      </c>
      <c r="O514" s="248"/>
      <c r="P514" s="248"/>
      <c r="Q514" s="248"/>
      <c r="R514" s="248"/>
      <c r="S514" s="248"/>
      <c r="T514" s="248"/>
      <c r="U514" s="248"/>
      <c r="V514" s="248"/>
      <c r="W514" s="248"/>
      <c r="X514" s="244" t="s">
        <v>129</v>
      </c>
      <c r="Y514" s="244"/>
      <c r="Z514" s="244"/>
      <c r="AA514" s="244"/>
      <c r="AB514" s="249">
        <f>N514/N515</f>
        <v>1.4112507051092873</v>
      </c>
      <c r="AC514" s="249"/>
      <c r="AD514" s="249"/>
      <c r="AE514" s="249"/>
      <c r="AF514" s="250"/>
      <c r="AG514" s="250"/>
      <c r="AH514" s="250"/>
      <c r="AI514" s="250"/>
      <c r="AJ514" s="251" t="str">
        <f>IF(AB514-AB517&gt;0,"POVEĆAN","SMANJEN")</f>
        <v>SMANJEN</v>
      </c>
      <c r="AK514" s="114"/>
      <c r="AL514" s="115"/>
      <c r="AM514" s="115"/>
      <c r="AN514" s="115"/>
      <c r="AO514" s="116">
        <f>ROUND(IF(AB514/AB517&gt;1,AB514/AB517*100-100,100-(AB514/AB517*100)),1)</f>
        <v>18.5</v>
      </c>
      <c r="AP514" s="116"/>
      <c r="AQ514" s="116"/>
      <c r="AR514" s="116"/>
      <c r="AS514" s="116"/>
      <c r="AT514" s="114" t="s">
        <v>33</v>
      </c>
      <c r="AU514" s="114"/>
      <c r="AY514" s="252"/>
    </row>
    <row r="515" spans="1:51" ht="12.75" customHeight="1" x14ac:dyDescent="0.25">
      <c r="J515" s="244"/>
      <c r="K515" s="244"/>
      <c r="L515" s="244"/>
      <c r="M515" s="244"/>
      <c r="N515" s="253">
        <f>R143</f>
        <v>267689</v>
      </c>
      <c r="O515" s="253"/>
      <c r="P515" s="253"/>
      <c r="Q515" s="253"/>
      <c r="R515" s="253"/>
      <c r="S515" s="253"/>
      <c r="T515" s="253"/>
      <c r="U515" s="253"/>
      <c r="V515" s="253"/>
      <c r="W515" s="253"/>
      <c r="X515" s="244"/>
      <c r="Y515" s="244"/>
      <c r="Z515" s="244"/>
      <c r="AA515" s="244"/>
      <c r="AB515" s="249"/>
      <c r="AC515" s="249"/>
      <c r="AD515" s="249"/>
      <c r="AE515" s="249"/>
      <c r="AF515" s="250"/>
      <c r="AG515" s="250"/>
      <c r="AH515" s="250"/>
      <c r="AI515" s="250"/>
      <c r="AJ515" s="247"/>
      <c r="AK515" s="247"/>
      <c r="AL515" s="247"/>
      <c r="AM515" s="247"/>
      <c r="AN515" s="247"/>
      <c r="AO515" s="254"/>
      <c r="AP515" s="254"/>
      <c r="AQ515" s="254"/>
      <c r="AR515" s="254"/>
      <c r="AS515" s="254"/>
      <c r="AT515" s="247"/>
      <c r="AU515" s="247"/>
    </row>
    <row r="517" spans="1:51" x14ac:dyDescent="0.25">
      <c r="J517" s="244" t="str">
        <f>[1]UnosPod!U1-1&amp;" ="</f>
        <v>2011 =</v>
      </c>
      <c r="K517" s="244"/>
      <c r="L517" s="244"/>
      <c r="M517" s="244"/>
      <c r="N517" s="248">
        <f>AD100</f>
        <v>468733</v>
      </c>
      <c r="O517" s="248"/>
      <c r="P517" s="248"/>
      <c r="Q517" s="248"/>
      <c r="R517" s="248"/>
      <c r="S517" s="248"/>
      <c r="T517" s="248"/>
      <c r="U517" s="248"/>
      <c r="V517" s="248"/>
      <c r="W517" s="248"/>
      <c r="X517" s="244" t="s">
        <v>129</v>
      </c>
      <c r="Y517" s="244"/>
      <c r="Z517" s="244"/>
      <c r="AA517" s="244"/>
      <c r="AB517" s="249">
        <f>N517/N518</f>
        <v>1.7322564312929847</v>
      </c>
      <c r="AC517" s="249"/>
      <c r="AD517" s="249"/>
      <c r="AE517" s="249"/>
    </row>
    <row r="518" spans="1:51" x14ac:dyDescent="0.25">
      <c r="J518" s="244"/>
      <c r="K518" s="244"/>
      <c r="L518" s="244"/>
      <c r="M518" s="244"/>
      <c r="N518" s="253">
        <f>AD143</f>
        <v>270591</v>
      </c>
      <c r="O518" s="253"/>
      <c r="P518" s="253"/>
      <c r="Q518" s="253"/>
      <c r="R518" s="253"/>
      <c r="S518" s="253"/>
      <c r="T518" s="253"/>
      <c r="U518" s="253"/>
      <c r="V518" s="253"/>
      <c r="W518" s="253"/>
      <c r="X518" s="244"/>
      <c r="Y518" s="244"/>
      <c r="Z518" s="244"/>
      <c r="AA518" s="244"/>
      <c r="AB518" s="249"/>
      <c r="AC518" s="249"/>
      <c r="AD518" s="249"/>
      <c r="AE518" s="249"/>
    </row>
    <row r="520" spans="1:51" x14ac:dyDescent="0.25">
      <c r="B520" s="118" t="str">
        <f>"U "&amp;[1]UnosPod!P6&amp;"godini, za svakih 100 KM rashoda, preduzeće ostvari "&amp;ROUND(AB514*100,2)&amp;" KM prihoda."</f>
        <v>U 2012.godini, za svakih 100 KM rashoda, preduzeće ostvari 141,13 KM prihoda.</v>
      </c>
    </row>
    <row r="521" spans="1:51" x14ac:dyDescent="0.25">
      <c r="B521" s="118" t="str">
        <f>"U istom periodu prošle godine, za svakih 100 KM rashoda ostvarilo je "&amp;ROUND(AB517*100,2)&amp;" KM prihoda."</f>
        <v>U istom periodu prošle godine, za svakih 100 KM rashoda ostvarilo je 173,23 KM prihoda.</v>
      </c>
    </row>
    <row r="522" spans="1:51" x14ac:dyDescent="0.25">
      <c r="B522" t="str">
        <f>"Ovaj pokazatelj je "&amp;AJ514&amp;" u odnosu na prošlu godinu za "&amp;ROUND(AO514,1)&amp;"%"</f>
        <v>Ovaj pokazatelj je SMANJEN u odnosu na prošlu godinu za 18,5%</v>
      </c>
    </row>
    <row r="525" spans="1:51" ht="12.75" customHeight="1" x14ac:dyDescent="0.25">
      <c r="A525" s="243" t="s">
        <v>135</v>
      </c>
      <c r="B525" s="243"/>
      <c r="C525" s="243"/>
      <c r="D525" s="243"/>
      <c r="E525" s="243"/>
      <c r="F525" s="243"/>
      <c r="G525" s="243"/>
      <c r="H525" s="243"/>
      <c r="I525" s="243"/>
      <c r="J525" s="243"/>
      <c r="K525" s="243"/>
      <c r="L525" s="243"/>
      <c r="M525" s="243"/>
      <c r="N525" s="118"/>
      <c r="O525" s="118" t="s">
        <v>136</v>
      </c>
      <c r="P525" s="118"/>
      <c r="Q525" s="118"/>
      <c r="R525" s="118"/>
      <c r="S525" s="118"/>
      <c r="T525" s="118"/>
      <c r="U525" s="118"/>
      <c r="V525" s="118"/>
      <c r="W525" s="118"/>
      <c r="X525" s="244" t="s">
        <v>129</v>
      </c>
      <c r="Y525" s="244"/>
      <c r="Z525" s="244"/>
      <c r="AA525" s="244"/>
      <c r="AB525" s="245"/>
      <c r="AC525" s="245"/>
      <c r="AD525" s="245"/>
      <c r="AE525" s="245"/>
      <c r="AF525" s="245"/>
      <c r="AG525" s="245"/>
      <c r="AH525" s="245"/>
      <c r="AI525" s="245"/>
    </row>
    <row r="526" spans="1:51" ht="14.25" customHeight="1" x14ac:dyDescent="0.25">
      <c r="A526" s="243"/>
      <c r="B526" s="243"/>
      <c r="C526" s="243"/>
      <c r="D526" s="243"/>
      <c r="E526" s="243"/>
      <c r="F526" s="243"/>
      <c r="G526" s="243"/>
      <c r="H526" s="243"/>
      <c r="I526" s="243"/>
      <c r="J526" s="243"/>
      <c r="K526" s="243"/>
      <c r="L526" s="243"/>
      <c r="M526" s="243"/>
      <c r="N526" s="246"/>
      <c r="O526" s="246"/>
      <c r="P526" s="246" t="s">
        <v>134</v>
      </c>
      <c r="Q526" s="246"/>
      <c r="R526" s="246"/>
      <c r="S526" s="246"/>
      <c r="T526" s="246"/>
      <c r="U526" s="246"/>
      <c r="V526" s="246"/>
      <c r="W526" s="246"/>
      <c r="X526" s="244"/>
      <c r="Y526" s="244"/>
      <c r="Z526" s="244"/>
      <c r="AA526" s="244"/>
      <c r="AB526" s="245"/>
      <c r="AC526" s="245"/>
      <c r="AD526" s="245"/>
      <c r="AE526" s="245"/>
      <c r="AF526" s="245"/>
      <c r="AG526" s="245"/>
      <c r="AH526" s="245"/>
      <c r="AI526" s="245"/>
    </row>
    <row r="527" spans="1:51" x14ac:dyDescent="0.25">
      <c r="AJ527" s="247"/>
      <c r="AK527" s="247"/>
      <c r="AL527" s="247"/>
      <c r="AM527" s="247"/>
      <c r="AN527" s="247"/>
      <c r="AO527" s="247"/>
      <c r="AP527" s="247"/>
      <c r="AQ527" s="247"/>
      <c r="AR527" s="247"/>
      <c r="AS527" s="247"/>
      <c r="AT527" s="247"/>
      <c r="AU527" s="247"/>
    </row>
    <row r="528" spans="1:51" ht="12.75" customHeight="1" x14ac:dyDescent="0.25">
      <c r="J528" s="244" t="str">
        <f>[1]UnosPod!U1&amp;" ="</f>
        <v>2012 =</v>
      </c>
      <c r="K528" s="244"/>
      <c r="L528" s="244"/>
      <c r="M528" s="244"/>
      <c r="N528" s="248">
        <f>R97</f>
        <v>325271</v>
      </c>
      <c r="O528" s="248"/>
      <c r="P528" s="248"/>
      <c r="Q528" s="248"/>
      <c r="R528" s="248"/>
      <c r="S528" s="248"/>
      <c r="T528" s="248"/>
      <c r="U528" s="248"/>
      <c r="V528" s="248"/>
      <c r="W528" s="248"/>
      <c r="X528" s="244" t="s">
        <v>129</v>
      </c>
      <c r="Y528" s="244"/>
      <c r="Z528" s="244"/>
      <c r="AA528" s="244"/>
      <c r="AB528" s="249">
        <f>N528/N529</f>
        <v>1.2151078303553751</v>
      </c>
      <c r="AC528" s="249"/>
      <c r="AD528" s="249"/>
      <c r="AE528" s="249"/>
      <c r="AF528" s="250"/>
      <c r="AG528" s="250"/>
      <c r="AH528" s="250"/>
      <c r="AI528" s="250"/>
      <c r="AJ528" s="251" t="str">
        <f>IF(AB528-AB531&gt;0,"POVEĆAN","SMANJEN")</f>
        <v>SMANJEN</v>
      </c>
      <c r="AK528" s="114"/>
      <c r="AL528" s="115"/>
      <c r="AM528" s="115"/>
      <c r="AN528" s="115"/>
      <c r="AO528" s="116">
        <f>ROUND(IF(AB528/AB531&gt;1,AB528/AB531*100-100,100-(AB528/AB531*100)),1)</f>
        <v>24.3</v>
      </c>
      <c r="AP528" s="116"/>
      <c r="AQ528" s="116"/>
      <c r="AR528" s="116"/>
      <c r="AS528" s="116"/>
      <c r="AT528" s="114" t="s">
        <v>33</v>
      </c>
      <c r="AU528" s="114"/>
      <c r="AY528" s="252"/>
    </row>
    <row r="529" spans="2:47" ht="12.75" customHeight="1" x14ac:dyDescent="0.25">
      <c r="J529" s="244"/>
      <c r="K529" s="244"/>
      <c r="L529" s="244"/>
      <c r="M529" s="244"/>
      <c r="N529" s="253">
        <f>R143</f>
        <v>267689</v>
      </c>
      <c r="O529" s="253"/>
      <c r="P529" s="253"/>
      <c r="Q529" s="253"/>
      <c r="R529" s="253"/>
      <c r="S529" s="253"/>
      <c r="T529" s="253"/>
      <c r="U529" s="253"/>
      <c r="V529" s="253"/>
      <c r="W529" s="253"/>
      <c r="X529" s="244"/>
      <c r="Y529" s="244"/>
      <c r="Z529" s="244"/>
      <c r="AA529" s="244"/>
      <c r="AB529" s="249"/>
      <c r="AC529" s="249"/>
      <c r="AD529" s="249"/>
      <c r="AE529" s="249"/>
      <c r="AF529" s="250"/>
      <c r="AG529" s="250"/>
      <c r="AH529" s="250"/>
      <c r="AI529" s="250"/>
      <c r="AJ529" s="247"/>
      <c r="AK529" s="247"/>
      <c r="AL529" s="247"/>
      <c r="AM529" s="247"/>
      <c r="AN529" s="247"/>
      <c r="AO529" s="254"/>
      <c r="AP529" s="254"/>
      <c r="AQ529" s="254"/>
      <c r="AR529" s="254"/>
      <c r="AS529" s="254"/>
      <c r="AT529" s="247"/>
      <c r="AU529" s="247"/>
    </row>
    <row r="531" spans="2:47" x14ac:dyDescent="0.25">
      <c r="J531" s="244" t="str">
        <f>[1]UnosPod!U1-1&amp;" ="</f>
        <v>2011 =</v>
      </c>
      <c r="K531" s="244"/>
      <c r="L531" s="244"/>
      <c r="M531" s="244"/>
      <c r="N531" s="248">
        <f>AD97</f>
        <v>434219</v>
      </c>
      <c r="O531" s="248"/>
      <c r="P531" s="248"/>
      <c r="Q531" s="248"/>
      <c r="R531" s="248"/>
      <c r="S531" s="248"/>
      <c r="T531" s="248"/>
      <c r="U531" s="248"/>
      <c r="V531" s="248"/>
      <c r="W531" s="248"/>
      <c r="X531" s="244" t="s">
        <v>129</v>
      </c>
      <c r="Y531" s="244"/>
      <c r="Z531" s="244"/>
      <c r="AA531" s="244"/>
      <c r="AB531" s="249">
        <f>N531/N532</f>
        <v>1.6047059953952645</v>
      </c>
      <c r="AC531" s="249"/>
      <c r="AD531" s="249"/>
      <c r="AE531" s="249"/>
    </row>
    <row r="532" spans="2:47" x14ac:dyDescent="0.25">
      <c r="J532" s="244"/>
      <c r="K532" s="244"/>
      <c r="L532" s="244"/>
      <c r="M532" s="244"/>
      <c r="N532" s="253">
        <f>AD143</f>
        <v>270591</v>
      </c>
      <c r="O532" s="253"/>
      <c r="P532" s="253"/>
      <c r="Q532" s="253"/>
      <c r="R532" s="253"/>
      <c r="S532" s="253"/>
      <c r="T532" s="253"/>
      <c r="U532" s="253"/>
      <c r="V532" s="253"/>
      <c r="W532" s="253"/>
      <c r="X532" s="244"/>
      <c r="Y532" s="244"/>
      <c r="Z532" s="244"/>
      <c r="AA532" s="244"/>
      <c r="AB532" s="249"/>
      <c r="AC532" s="249"/>
      <c r="AD532" s="249"/>
      <c r="AE532" s="249"/>
    </row>
    <row r="534" spans="2:47" x14ac:dyDescent="0.25">
      <c r="B534" s="118" t="str">
        <f>"U "&amp;[1]UnosPod!P6&amp;"godini, za svakih 100 KM rashoda, preduzeće ostvari "&amp;ROUND(AB528*100,2)&amp;" KM prihoda od prodaje."</f>
        <v>U 2012.godini, za svakih 100 KM rashoda, preduzeće ostvari 121,51 KM prihoda od prodaje.</v>
      </c>
    </row>
    <row r="535" spans="2:47" x14ac:dyDescent="0.25">
      <c r="B535" s="118" t="str">
        <f>"U istom periodu prošle godine, za svakih 100 KM rashoda ostvarilo je "&amp;ROUND(AB531*100,2)&amp;" KM prihoda od prodaje."</f>
        <v>U istom periodu prošle godine, za svakih 100 KM rashoda ostvarilo je 160,47 KM prihoda od prodaje.</v>
      </c>
    </row>
    <row r="536" spans="2:47" x14ac:dyDescent="0.25">
      <c r="B536" t="str">
        <f>"Ovaj pokazatelj je "&amp;AJ528&amp;" u odnosu na prošlu godinu za "&amp;ROUND(AO528,1)&amp;"%"</f>
        <v>Ovaj pokazatelj je SMANJEN u odnosu na prošlu godinu za 24,3%</v>
      </c>
    </row>
    <row r="543" spans="2:47" x14ac:dyDescent="0.25">
      <c r="B543" s="242" t="s">
        <v>137</v>
      </c>
    </row>
    <row r="545" spans="1:51" ht="12.75" customHeight="1" x14ac:dyDescent="0.25">
      <c r="A545" s="243" t="s">
        <v>138</v>
      </c>
      <c r="B545" s="243"/>
      <c r="C545" s="243"/>
      <c r="D545" s="243"/>
      <c r="E545" s="243"/>
      <c r="F545" s="243"/>
      <c r="G545" s="243"/>
      <c r="H545" s="243"/>
      <c r="I545" s="243"/>
      <c r="J545" s="243"/>
      <c r="K545" s="243"/>
      <c r="L545" s="243"/>
      <c r="M545" s="243"/>
      <c r="N545" s="118"/>
      <c r="O545" s="118"/>
      <c r="P545" s="118"/>
      <c r="Q545" s="118" t="s">
        <v>139</v>
      </c>
      <c r="R545" s="118"/>
      <c r="S545" s="118"/>
      <c r="T545" s="118"/>
      <c r="U545" s="118"/>
      <c r="V545" s="118"/>
      <c r="W545" s="118"/>
      <c r="X545" s="244" t="s">
        <v>129</v>
      </c>
      <c r="Y545" s="244"/>
      <c r="Z545" s="244"/>
      <c r="AA545" s="244"/>
      <c r="AB545" s="245"/>
      <c r="AC545" s="245"/>
      <c r="AD545" s="245"/>
      <c r="AE545" s="245"/>
      <c r="AF545" s="245"/>
      <c r="AG545" s="245"/>
      <c r="AH545" s="245"/>
      <c r="AI545" s="245"/>
    </row>
    <row r="546" spans="1:51" ht="14.25" customHeight="1" x14ac:dyDescent="0.25">
      <c r="A546" s="243"/>
      <c r="B546" s="243"/>
      <c r="C546" s="243"/>
      <c r="D546" s="243"/>
      <c r="E546" s="243"/>
      <c r="F546" s="243"/>
      <c r="G546" s="243"/>
      <c r="H546" s="243"/>
      <c r="I546" s="243"/>
      <c r="J546" s="243"/>
      <c r="K546" s="243"/>
      <c r="L546" s="243"/>
      <c r="M546" s="243"/>
      <c r="N546" s="246" t="s">
        <v>140</v>
      </c>
      <c r="O546" s="246"/>
      <c r="P546" s="246"/>
      <c r="Q546" s="246"/>
      <c r="R546" s="246"/>
      <c r="S546" s="246"/>
      <c r="T546" s="246"/>
      <c r="U546" s="246"/>
      <c r="V546" s="246"/>
      <c r="W546" s="246"/>
      <c r="X546" s="244"/>
      <c r="Y546" s="244"/>
      <c r="Z546" s="244"/>
      <c r="AA546" s="244"/>
      <c r="AB546" s="245"/>
      <c r="AC546" s="245"/>
      <c r="AD546" s="245"/>
      <c r="AE546" s="245"/>
      <c r="AF546" s="245"/>
      <c r="AG546" s="245"/>
      <c r="AH546" s="245"/>
      <c r="AI546" s="245"/>
    </row>
    <row r="547" spans="1:51" x14ac:dyDescent="0.25">
      <c r="AJ547" s="247"/>
      <c r="AK547" s="247"/>
      <c r="AL547" s="247"/>
      <c r="AM547" s="247"/>
      <c r="AN547" s="247"/>
      <c r="AO547" s="247"/>
      <c r="AP547" s="247"/>
      <c r="AQ547" s="247"/>
      <c r="AR547" s="247"/>
      <c r="AS547" s="247"/>
      <c r="AT547" s="247"/>
      <c r="AU547" s="247"/>
    </row>
    <row r="548" spans="1:51" ht="12.75" customHeight="1" x14ac:dyDescent="0.25">
      <c r="J548" s="244" t="str">
        <f>[1]UnosPod!U1&amp;" ="</f>
        <v>2012 =</v>
      </c>
      <c r="K548" s="244"/>
      <c r="L548" s="244"/>
      <c r="M548" s="244"/>
      <c r="N548" s="248">
        <f>R311</f>
        <v>324891</v>
      </c>
      <c r="O548" s="248"/>
      <c r="P548" s="248"/>
      <c r="Q548" s="248"/>
      <c r="R548" s="248"/>
      <c r="S548" s="248"/>
      <c r="T548" s="248"/>
      <c r="U548" s="248"/>
      <c r="V548" s="248"/>
      <c r="W548" s="248"/>
      <c r="X548" s="244" t="s">
        <v>129</v>
      </c>
      <c r="Y548" s="244"/>
      <c r="Z548" s="244"/>
      <c r="AA548" s="244"/>
      <c r="AB548" s="249">
        <f>N548/N549</f>
        <v>7.1092122522736947</v>
      </c>
      <c r="AC548" s="249"/>
      <c r="AD548" s="249"/>
      <c r="AE548" s="249"/>
      <c r="AF548" s="250"/>
      <c r="AG548" s="250"/>
      <c r="AH548" s="250"/>
      <c r="AI548" s="250"/>
      <c r="AJ548" s="251" t="str">
        <f>IF(AB548-AB551&gt;0,"POVEĆAN","SMANJEN")</f>
        <v>SMANJEN</v>
      </c>
      <c r="AK548" s="114"/>
      <c r="AL548" s="115"/>
      <c r="AM548" s="115"/>
      <c r="AN548" s="115"/>
      <c r="AO548" s="116">
        <f>ROUND(IF(AB548/AB551&gt;1,AB548/AB551*100-100,100-(AB548/AB551*100)),1)</f>
        <v>25.6</v>
      </c>
      <c r="AP548" s="116"/>
      <c r="AQ548" s="116"/>
      <c r="AR548" s="116"/>
      <c r="AS548" s="116"/>
      <c r="AT548" s="114" t="s">
        <v>33</v>
      </c>
      <c r="AU548" s="114"/>
      <c r="AY548" s="252"/>
    </row>
    <row r="549" spans="1:51" ht="12.75" customHeight="1" x14ac:dyDescent="0.25">
      <c r="J549" s="244"/>
      <c r="K549" s="244"/>
      <c r="L549" s="244"/>
      <c r="M549" s="244"/>
      <c r="N549" s="253">
        <f>R362+0.00001</f>
        <v>45700.000010000003</v>
      </c>
      <c r="O549" s="253"/>
      <c r="P549" s="253"/>
      <c r="Q549" s="253"/>
      <c r="R549" s="253"/>
      <c r="S549" s="253"/>
      <c r="T549" s="253"/>
      <c r="U549" s="253"/>
      <c r="V549" s="253"/>
      <c r="W549" s="253"/>
      <c r="X549" s="244"/>
      <c r="Y549" s="244"/>
      <c r="Z549" s="244"/>
      <c r="AA549" s="244"/>
      <c r="AB549" s="249"/>
      <c r="AC549" s="249"/>
      <c r="AD549" s="249"/>
      <c r="AE549" s="249"/>
      <c r="AF549" s="250"/>
      <c r="AG549" s="250"/>
      <c r="AH549" s="250"/>
      <c r="AI549" s="250"/>
      <c r="AJ549" s="247"/>
      <c r="AK549" s="247"/>
      <c r="AL549" s="247"/>
      <c r="AM549" s="247"/>
      <c r="AN549" s="247"/>
      <c r="AO549" s="254"/>
      <c r="AP549" s="254"/>
      <c r="AQ549" s="254"/>
      <c r="AR549" s="254"/>
      <c r="AS549" s="254"/>
      <c r="AT549" s="247"/>
      <c r="AU549" s="247"/>
    </row>
    <row r="551" spans="1:51" x14ac:dyDescent="0.25">
      <c r="J551" s="244" t="str">
        <f>[1]UnosPod!U1-1&amp;" ="</f>
        <v>2011 =</v>
      </c>
      <c r="K551" s="244"/>
      <c r="L551" s="244"/>
      <c r="M551" s="244"/>
      <c r="N551" s="248">
        <f>AD311</f>
        <v>698187</v>
      </c>
      <c r="O551" s="248"/>
      <c r="P551" s="248"/>
      <c r="Q551" s="248"/>
      <c r="R551" s="248"/>
      <c r="S551" s="248"/>
      <c r="T551" s="248"/>
      <c r="U551" s="248"/>
      <c r="V551" s="248"/>
      <c r="W551" s="248"/>
      <c r="X551" s="244" t="s">
        <v>129</v>
      </c>
      <c r="Y551" s="244"/>
      <c r="Z551" s="244"/>
      <c r="AA551" s="244"/>
      <c r="AB551" s="249">
        <f>N551/N552</f>
        <v>9.5573974701643039</v>
      </c>
      <c r="AC551" s="249"/>
      <c r="AD551" s="249"/>
      <c r="AE551" s="249"/>
    </row>
    <row r="552" spans="1:51" x14ac:dyDescent="0.25">
      <c r="J552" s="244"/>
      <c r="K552" s="244"/>
      <c r="L552" s="244"/>
      <c r="M552" s="244"/>
      <c r="N552" s="253">
        <f>AD362+0.000001</f>
        <v>73052.000000999993</v>
      </c>
      <c r="O552" s="253"/>
      <c r="P552" s="253"/>
      <c r="Q552" s="253"/>
      <c r="R552" s="253"/>
      <c r="S552" s="253"/>
      <c r="T552" s="253"/>
      <c r="U552" s="253"/>
      <c r="V552" s="253"/>
      <c r="W552" s="253"/>
      <c r="X552" s="244"/>
      <c r="Y552" s="244"/>
      <c r="Z552" s="244"/>
      <c r="AA552" s="244"/>
      <c r="AB552" s="249"/>
      <c r="AC552" s="249"/>
      <c r="AD552" s="249"/>
      <c r="AE552" s="249"/>
    </row>
    <row r="554" spans="1:51" x14ac:dyDescent="0.25">
      <c r="B554" s="118" t="str">
        <f>"Na dan "&amp;[1]UnosPod!M6&amp;[1]UnosPod!P6&amp;"g., za plaćanje svakih 100 KM kratkoročnih obaveza, preduzeće ima "&amp;ROUND(AB548*100,2)&amp;" KM novčanih sredstava"</f>
        <v>Na dan 30.06.2012.g., za plaćanje svakih 100 KM kratkoročnih obaveza, preduzeće ima 710,92 KM novčanih sredstava</v>
      </c>
    </row>
    <row r="555" spans="1:51" x14ac:dyDescent="0.25">
      <c r="B555" s="118" t="str">
        <f>"31.12. prošle godine, za ovu namjenu imalo je na raspolaganju "&amp;ROUND(AB551*100,2)&amp;" KM u novčanim sredstvima."</f>
        <v>31.12. prošle godine, za ovu namjenu imalo je na raspolaganju 955,74 KM u novčanim sredstvima.</v>
      </c>
    </row>
    <row r="556" spans="1:51" x14ac:dyDescent="0.25">
      <c r="B556" t="str">
        <f>"Ovaj pokazatelj je "&amp;AJ548&amp;" u odnosu na prošlu godinu za "&amp;ROUND(AO548,1)&amp;"%"</f>
        <v>Ovaj pokazatelj je SMANJEN u odnosu na prošlu godinu za 25,6%</v>
      </c>
    </row>
    <row r="559" spans="1:51" ht="12.75" customHeight="1" x14ac:dyDescent="0.25">
      <c r="A559" s="243" t="s">
        <v>141</v>
      </c>
      <c r="B559" s="243"/>
      <c r="C559" s="243"/>
      <c r="D559" s="243"/>
      <c r="E559" s="243"/>
      <c r="F559" s="243"/>
      <c r="G559" s="243"/>
      <c r="H559" s="243"/>
      <c r="I559" s="243"/>
      <c r="J559" s="243"/>
      <c r="K559" s="243"/>
      <c r="L559" s="243"/>
      <c r="M559" s="243"/>
      <c r="N559" s="118" t="s">
        <v>142</v>
      </c>
      <c r="O559" s="118"/>
      <c r="P559" s="118"/>
      <c r="Q559" s="118"/>
      <c r="R559" s="118"/>
      <c r="S559" s="118"/>
      <c r="T559" s="118"/>
      <c r="U559" s="118"/>
      <c r="V559" s="118"/>
      <c r="W559" s="118"/>
      <c r="X559" s="244" t="s">
        <v>129</v>
      </c>
      <c r="Y559" s="244"/>
      <c r="Z559" s="244"/>
      <c r="AA559" s="244"/>
      <c r="AB559" s="245"/>
      <c r="AC559" s="245"/>
      <c r="AD559" s="245"/>
      <c r="AE559" s="245"/>
      <c r="AF559" s="245"/>
      <c r="AG559" s="245"/>
      <c r="AH559" s="245"/>
      <c r="AI559" s="245"/>
    </row>
    <row r="560" spans="1:51" ht="14.25" customHeight="1" x14ac:dyDescent="0.25">
      <c r="A560" s="243"/>
      <c r="B560" s="243"/>
      <c r="C560" s="243"/>
      <c r="D560" s="243"/>
      <c r="E560" s="243"/>
      <c r="F560" s="243"/>
      <c r="G560" s="243"/>
      <c r="H560" s="243"/>
      <c r="I560" s="243"/>
      <c r="J560" s="243"/>
      <c r="K560" s="243"/>
      <c r="L560" s="243"/>
      <c r="M560" s="243"/>
      <c r="N560" s="246" t="s">
        <v>140</v>
      </c>
      <c r="O560" s="246"/>
      <c r="P560" s="246"/>
      <c r="Q560" s="246"/>
      <c r="R560" s="246"/>
      <c r="S560" s="246"/>
      <c r="T560" s="246"/>
      <c r="U560" s="246"/>
      <c r="V560" s="246"/>
      <c r="W560" s="246"/>
      <c r="X560" s="244"/>
      <c r="Y560" s="244"/>
      <c r="Z560" s="244"/>
      <c r="AA560" s="244"/>
      <c r="AB560" s="245"/>
      <c r="AC560" s="245"/>
      <c r="AD560" s="245"/>
      <c r="AE560" s="245"/>
      <c r="AF560" s="245"/>
      <c r="AG560" s="245"/>
      <c r="AH560" s="245"/>
      <c r="AI560" s="245"/>
    </row>
    <row r="561" spans="1:51" x14ac:dyDescent="0.25">
      <c r="AJ561" s="247"/>
      <c r="AK561" s="247"/>
      <c r="AL561" s="247"/>
      <c r="AM561" s="247"/>
      <c r="AN561" s="247"/>
      <c r="AO561" s="247"/>
      <c r="AP561" s="247"/>
      <c r="AQ561" s="247"/>
      <c r="AR561" s="247"/>
      <c r="AS561" s="247"/>
      <c r="AT561" s="247"/>
      <c r="AU561" s="247"/>
    </row>
    <row r="562" spans="1:51" ht="12.75" customHeight="1" x14ac:dyDescent="0.25">
      <c r="J562" s="244" t="str">
        <f>[1]UnosPod!U1&amp;" ="</f>
        <v>2012 =</v>
      </c>
      <c r="K562" s="244"/>
      <c r="L562" s="244"/>
      <c r="M562" s="244"/>
      <c r="N562" s="248">
        <f>R311+R308+R310</f>
        <v>1163413</v>
      </c>
      <c r="O562" s="248"/>
      <c r="P562" s="248"/>
      <c r="Q562" s="248"/>
      <c r="R562" s="248"/>
      <c r="S562" s="248"/>
      <c r="T562" s="248"/>
      <c r="U562" s="248"/>
      <c r="V562" s="248"/>
      <c r="W562" s="248"/>
      <c r="X562" s="244" t="s">
        <v>129</v>
      </c>
      <c r="Y562" s="244"/>
      <c r="Z562" s="244"/>
      <c r="AA562" s="244"/>
      <c r="AB562" s="249">
        <f>N562/N563</f>
        <v>25.457614874079294</v>
      </c>
      <c r="AC562" s="249"/>
      <c r="AD562" s="249"/>
      <c r="AE562" s="249"/>
      <c r="AF562" s="250"/>
      <c r="AG562" s="250"/>
      <c r="AH562" s="250"/>
      <c r="AI562" s="250"/>
      <c r="AJ562" s="251" t="str">
        <f>IF(AB562-AB565&gt;0,"POVEĆAN","SMANJEN")</f>
        <v>POVEĆAN</v>
      </c>
      <c r="AK562" s="114"/>
      <c r="AL562" s="115"/>
      <c r="AM562" s="115"/>
      <c r="AN562" s="115"/>
      <c r="AO562" s="116">
        <f>ROUND(IF(AB562/AB565&gt;1,AB562/AB565*100-100,100-(AB562/AB565*100)),1)</f>
        <v>59</v>
      </c>
      <c r="AP562" s="116"/>
      <c r="AQ562" s="116"/>
      <c r="AR562" s="116"/>
      <c r="AS562" s="116"/>
      <c r="AT562" s="114" t="s">
        <v>33</v>
      </c>
      <c r="AU562" s="114"/>
      <c r="AY562" s="252"/>
    </row>
    <row r="563" spans="1:51" ht="12.75" customHeight="1" x14ac:dyDescent="0.25">
      <c r="J563" s="244"/>
      <c r="K563" s="244"/>
      <c r="L563" s="244"/>
      <c r="M563" s="244"/>
      <c r="N563" s="253">
        <f>R362+0.00001</f>
        <v>45700.000010000003</v>
      </c>
      <c r="O563" s="253"/>
      <c r="P563" s="253"/>
      <c r="Q563" s="253"/>
      <c r="R563" s="253"/>
      <c r="S563" s="253"/>
      <c r="T563" s="253"/>
      <c r="U563" s="253"/>
      <c r="V563" s="253"/>
      <c r="W563" s="253"/>
      <c r="X563" s="244"/>
      <c r="Y563" s="244"/>
      <c r="Z563" s="244"/>
      <c r="AA563" s="244"/>
      <c r="AB563" s="249"/>
      <c r="AC563" s="249"/>
      <c r="AD563" s="249"/>
      <c r="AE563" s="249"/>
      <c r="AF563" s="250"/>
      <c r="AG563" s="250"/>
      <c r="AH563" s="250"/>
      <c r="AI563" s="250"/>
    </row>
    <row r="565" spans="1:51" x14ac:dyDescent="0.25">
      <c r="J565" s="244" t="str">
        <f>[1]UnosPod!U1-1&amp;" ="</f>
        <v>2011 =</v>
      </c>
      <c r="K565" s="244"/>
      <c r="L565" s="244"/>
      <c r="M565" s="244"/>
      <c r="N565" s="248">
        <f>AD311+AD308+AD310</f>
        <v>1169790</v>
      </c>
      <c r="O565" s="248"/>
      <c r="P565" s="248"/>
      <c r="Q565" s="248"/>
      <c r="R565" s="248"/>
      <c r="S565" s="248"/>
      <c r="T565" s="248"/>
      <c r="U565" s="248"/>
      <c r="V565" s="248"/>
      <c r="W565" s="248"/>
      <c r="X565" s="244" t="s">
        <v>129</v>
      </c>
      <c r="Y565" s="244"/>
      <c r="Z565" s="244"/>
      <c r="AA565" s="244"/>
      <c r="AB565" s="249">
        <f>N565/N566</f>
        <v>16.013113944038068</v>
      </c>
      <c r="AC565" s="249"/>
      <c r="AD565" s="249"/>
      <c r="AE565" s="249"/>
    </row>
    <row r="566" spans="1:51" x14ac:dyDescent="0.25">
      <c r="J566" s="244"/>
      <c r="K566" s="244"/>
      <c r="L566" s="244"/>
      <c r="M566" s="244"/>
      <c r="N566" s="253">
        <f>AD362+0.00001</f>
        <v>73052.000010000003</v>
      </c>
      <c r="O566" s="253"/>
      <c r="P566" s="253"/>
      <c r="Q566" s="253"/>
      <c r="R566" s="253"/>
      <c r="S566" s="253"/>
      <c r="T566" s="253"/>
      <c r="U566" s="253"/>
      <c r="V566" s="253"/>
      <c r="W566" s="253"/>
      <c r="X566" s="244"/>
      <c r="Y566" s="244"/>
      <c r="Z566" s="244"/>
      <c r="AA566" s="244"/>
      <c r="AB566" s="249"/>
      <c r="AC566" s="249"/>
      <c r="AD566" s="249"/>
      <c r="AE566" s="249"/>
    </row>
    <row r="568" spans="1:51" x14ac:dyDescent="0.25">
      <c r="B568" s="118" t="str">
        <f>"Na dan "&amp;[1]UnosPod!M6&amp;[1]UnosPod!P6&amp;"g.,  za plaćanje svakih 100 KM kratkoročni obaveza, preduzeće ima "&amp;ROUND(AB562*100,2)&amp;" KM novčanih sredstava"</f>
        <v>Na dan 30.06.2012.g.,  za plaćanje svakih 100 KM kratkoročni obaveza, preduzeće ima 2545,76 KM novčanih sredstava</v>
      </c>
    </row>
    <row r="569" spans="1:51" x14ac:dyDescent="0.25">
      <c r="B569" s="118" t="str">
        <f>"i potraživanja, 31.12. prošle godine, za ovu namjenu imalo je "&amp;ROUND(AB565*100,2)&amp;" KM novčanih sredstava i potraživanja."</f>
        <v>i potraživanja, 31.12. prošle godine, za ovu namjenu imalo je 1601,31 KM novčanih sredstava i potraživanja.</v>
      </c>
    </row>
    <row r="570" spans="1:51" x14ac:dyDescent="0.25">
      <c r="B570" t="str">
        <f>"Ovaj pokazatelj je "&amp;AJ562&amp;" u odnosu na prošlu godinu za "&amp;ROUND(AO562,1)&amp;"%"</f>
        <v>Ovaj pokazatelj je POVEĆAN u odnosu na prošlu godinu za 59%</v>
      </c>
    </row>
    <row r="573" spans="1:51" ht="12.75" customHeight="1" x14ac:dyDescent="0.25">
      <c r="A573" s="243" t="s">
        <v>143</v>
      </c>
      <c r="B573" s="243"/>
      <c r="C573" s="243"/>
      <c r="D573" s="243"/>
      <c r="E573" s="243"/>
      <c r="F573" s="243"/>
      <c r="G573" s="243"/>
      <c r="H573" s="243"/>
      <c r="I573" s="243"/>
      <c r="J573" s="243"/>
      <c r="K573" s="243"/>
      <c r="L573" s="243"/>
      <c r="M573" s="243"/>
      <c r="N573" s="118"/>
      <c r="O573" s="118" t="s">
        <v>144</v>
      </c>
      <c r="P573" s="118"/>
      <c r="Q573" s="118"/>
      <c r="R573" s="118"/>
      <c r="S573" s="118"/>
      <c r="T573" s="118"/>
      <c r="U573" s="118"/>
      <c r="V573" s="118"/>
      <c r="W573" s="118"/>
      <c r="X573" s="244" t="s">
        <v>129</v>
      </c>
      <c r="Y573" s="244"/>
      <c r="Z573" s="244"/>
      <c r="AA573" s="244"/>
      <c r="AB573" s="245"/>
      <c r="AC573" s="245"/>
      <c r="AD573" s="245"/>
      <c r="AE573" s="245"/>
      <c r="AF573" s="245"/>
      <c r="AG573" s="245"/>
      <c r="AH573" s="245"/>
      <c r="AI573" s="245"/>
    </row>
    <row r="574" spans="1:51" ht="14.25" customHeight="1" x14ac:dyDescent="0.25">
      <c r="A574" s="243"/>
      <c r="B574" s="243"/>
      <c r="C574" s="243"/>
      <c r="D574" s="243"/>
      <c r="E574" s="243"/>
      <c r="F574" s="243"/>
      <c r="G574" s="243"/>
      <c r="H574" s="243"/>
      <c r="I574" s="243"/>
      <c r="J574" s="243"/>
      <c r="K574" s="243"/>
      <c r="L574" s="243"/>
      <c r="M574" s="243"/>
      <c r="N574" s="246" t="s">
        <v>140</v>
      </c>
      <c r="O574" s="246"/>
      <c r="P574" s="246"/>
      <c r="Q574" s="246"/>
      <c r="R574" s="246"/>
      <c r="S574" s="246"/>
      <c r="T574" s="246"/>
      <c r="U574" s="246"/>
      <c r="V574" s="246"/>
      <c r="W574" s="246"/>
      <c r="X574" s="244"/>
      <c r="Y574" s="244"/>
      <c r="Z574" s="244"/>
      <c r="AA574" s="244"/>
      <c r="AB574" s="245"/>
      <c r="AC574" s="245"/>
      <c r="AD574" s="245"/>
      <c r="AE574" s="245"/>
      <c r="AF574" s="245"/>
      <c r="AG574" s="245"/>
      <c r="AH574" s="245"/>
      <c r="AI574" s="245"/>
    </row>
    <row r="575" spans="1:51" x14ac:dyDescent="0.25">
      <c r="AJ575" s="247"/>
      <c r="AK575" s="247"/>
      <c r="AL575" s="247"/>
      <c r="AM575" s="247"/>
      <c r="AN575" s="247"/>
      <c r="AO575" s="247"/>
      <c r="AP575" s="247"/>
      <c r="AQ575" s="247"/>
      <c r="AR575" s="247"/>
      <c r="AS575" s="247"/>
      <c r="AT575" s="247"/>
      <c r="AU575" s="247"/>
    </row>
    <row r="576" spans="1:51" ht="12.75" customHeight="1" x14ac:dyDescent="0.25">
      <c r="J576" s="244" t="str">
        <f>[1]UnosPod!U1&amp;" ="</f>
        <v>2012 =</v>
      </c>
      <c r="K576" s="244"/>
      <c r="L576" s="244"/>
      <c r="M576" s="244"/>
      <c r="N576" s="248">
        <f>R306</f>
        <v>1275532</v>
      </c>
      <c r="O576" s="248"/>
      <c r="P576" s="248"/>
      <c r="Q576" s="248"/>
      <c r="R576" s="248"/>
      <c r="S576" s="248"/>
      <c r="T576" s="248"/>
      <c r="U576" s="248"/>
      <c r="V576" s="248"/>
      <c r="W576" s="248"/>
      <c r="X576" s="244" t="s">
        <v>129</v>
      </c>
      <c r="Y576" s="244"/>
      <c r="Z576" s="244"/>
      <c r="AA576" s="244"/>
      <c r="AB576" s="249">
        <f>N576/N577</f>
        <v>27.91098467660591</v>
      </c>
      <c r="AC576" s="249"/>
      <c r="AD576" s="249"/>
      <c r="AE576" s="249"/>
      <c r="AF576" s="250"/>
      <c r="AG576" s="250"/>
      <c r="AH576" s="250"/>
      <c r="AI576" s="250"/>
      <c r="AJ576" s="251" t="str">
        <f>IF(AB576-AB579&gt;0,"POVEĆAN","SMANJEN")</f>
        <v>POVEĆAN</v>
      </c>
      <c r="AK576" s="32"/>
      <c r="AL576" s="115"/>
      <c r="AM576" s="115"/>
      <c r="AN576" s="115"/>
      <c r="AO576" s="116">
        <f>ROUND(IF(AB576/AB579&gt;1,AB576/AB579*100-100,100-(AB576/AB579*100)),1)</f>
        <v>65.099999999999994</v>
      </c>
      <c r="AP576" s="116"/>
      <c r="AQ576" s="116"/>
      <c r="AR576" s="116"/>
      <c r="AS576" s="116"/>
      <c r="AT576" s="114" t="s">
        <v>33</v>
      </c>
      <c r="AU576" s="114"/>
      <c r="AY576" s="252"/>
    </row>
    <row r="577" spans="1:51" ht="12.75" customHeight="1" x14ac:dyDescent="0.25">
      <c r="J577" s="244"/>
      <c r="K577" s="244"/>
      <c r="L577" s="244"/>
      <c r="M577" s="244"/>
      <c r="N577" s="253">
        <f>R362+0.00001</f>
        <v>45700.000010000003</v>
      </c>
      <c r="O577" s="253"/>
      <c r="P577" s="253"/>
      <c r="Q577" s="253"/>
      <c r="R577" s="253"/>
      <c r="S577" s="253"/>
      <c r="T577" s="253"/>
      <c r="U577" s="253"/>
      <c r="V577" s="253"/>
      <c r="W577" s="253"/>
      <c r="X577" s="244"/>
      <c r="Y577" s="244"/>
      <c r="Z577" s="244"/>
      <c r="AA577" s="244"/>
      <c r="AB577" s="249"/>
      <c r="AC577" s="249"/>
      <c r="AD577" s="249"/>
      <c r="AE577" s="249"/>
      <c r="AF577" s="250"/>
      <c r="AG577" s="250"/>
      <c r="AH577" s="250"/>
      <c r="AI577" s="250"/>
    </row>
    <row r="579" spans="1:51" x14ac:dyDescent="0.25">
      <c r="J579" s="244" t="str">
        <f>[1]UnosPod!U1-1&amp;" ="</f>
        <v>2011 =</v>
      </c>
      <c r="K579" s="244"/>
      <c r="L579" s="244"/>
      <c r="M579" s="244"/>
      <c r="N579" s="248">
        <f>AD306</f>
        <v>1234858</v>
      </c>
      <c r="O579" s="248"/>
      <c r="P579" s="248"/>
      <c r="Q579" s="248"/>
      <c r="R579" s="248"/>
      <c r="S579" s="248"/>
      <c r="T579" s="248"/>
      <c r="U579" s="248"/>
      <c r="V579" s="248"/>
      <c r="W579" s="248"/>
      <c r="X579" s="244" t="s">
        <v>129</v>
      </c>
      <c r="Y579" s="244"/>
      <c r="Z579" s="244"/>
      <c r="AA579" s="244"/>
      <c r="AB579" s="249">
        <f>N579/N580</f>
        <v>16.903821932746013</v>
      </c>
      <c r="AC579" s="249"/>
      <c r="AD579" s="249"/>
      <c r="AE579" s="249"/>
    </row>
    <row r="580" spans="1:51" x14ac:dyDescent="0.25">
      <c r="J580" s="244"/>
      <c r="K580" s="244"/>
      <c r="L580" s="244"/>
      <c r="M580" s="244"/>
      <c r="N580" s="253">
        <f>AD362+0.00001</f>
        <v>73052.000010000003</v>
      </c>
      <c r="O580" s="253"/>
      <c r="P580" s="253"/>
      <c r="Q580" s="253"/>
      <c r="R580" s="253"/>
      <c r="S580" s="253"/>
      <c r="T580" s="253"/>
      <c r="U580" s="253"/>
      <c r="V580" s="253"/>
      <c r="W580" s="253"/>
      <c r="X580" s="244"/>
      <c r="Y580" s="244"/>
      <c r="Z580" s="244"/>
      <c r="AA580" s="244"/>
      <c r="AB580" s="249"/>
      <c r="AC580" s="249"/>
      <c r="AD580" s="249"/>
      <c r="AE580" s="249"/>
    </row>
    <row r="582" spans="1:51" x14ac:dyDescent="0.25">
      <c r="B582" s="118" t="str">
        <f>"Na dan "&amp;[1]UnosPod!M6&amp;[1]UnosPod!P6&amp;"g.,za plaćanje svakih 100 KM kratkoročnih obaveza, preduzeće je imalo "&amp;ROUND(AB576*100,2)&amp;" KM tekućih"</f>
        <v>Na dan 30.06.2012.g.,za plaćanje svakih 100 KM kratkoročnih obaveza, preduzeće je imalo 2791,1 KM tekućih</v>
      </c>
    </row>
    <row r="583" spans="1:51" x14ac:dyDescent="0.25">
      <c r="B583" s="118" t="str">
        <f>"sredstava, 31.12. prošle godine, za ovu namjenu imalo je "&amp;ROUND(AB579*100,2)&amp;" KM tekućih sredstava."</f>
        <v>sredstava, 31.12. prošle godine, za ovu namjenu imalo je 1690,38 KM tekućih sredstava.</v>
      </c>
    </row>
    <row r="584" spans="1:51" x14ac:dyDescent="0.25">
      <c r="B584" t="str">
        <f>"Ovaj pokazatelj je "&amp;AJ576&amp;" u odnosu na prošlu godinu za "&amp;ROUND(AO576,1)&amp;"%"</f>
        <v>Ovaj pokazatelj je POVEĆAN u odnosu na prošlu godinu za 65,1%</v>
      </c>
    </row>
    <row r="587" spans="1:51" ht="12.75" customHeight="1" x14ac:dyDescent="0.25">
      <c r="A587" s="243" t="s">
        <v>145</v>
      </c>
      <c r="B587" s="243"/>
      <c r="C587" s="243"/>
      <c r="D587" s="243"/>
      <c r="E587" s="243"/>
      <c r="F587" s="243"/>
      <c r="G587" s="243"/>
      <c r="H587" s="243"/>
      <c r="I587" s="243"/>
      <c r="J587" s="243"/>
      <c r="K587" s="243"/>
      <c r="L587" s="243"/>
      <c r="M587" s="243"/>
      <c r="N587" s="118"/>
      <c r="O587" s="118"/>
      <c r="P587" s="118" t="s">
        <v>146</v>
      </c>
      <c r="Q587" s="118"/>
      <c r="R587" s="118"/>
      <c r="S587" s="118"/>
      <c r="T587" s="118"/>
      <c r="U587" s="118"/>
      <c r="V587" s="118"/>
      <c r="W587" s="118"/>
      <c r="X587" s="118"/>
      <c r="Y587" s="118"/>
      <c r="Z587" s="244" t="s">
        <v>129</v>
      </c>
      <c r="AA587" s="244"/>
      <c r="AB587" s="244"/>
      <c r="AC587" s="244"/>
      <c r="AD587" s="245"/>
      <c r="AE587" s="245"/>
      <c r="AF587" s="245"/>
      <c r="AG587" s="245"/>
      <c r="AH587" s="245"/>
      <c r="AI587" s="245"/>
    </row>
    <row r="588" spans="1:51" ht="14.25" customHeight="1" x14ac:dyDescent="0.25">
      <c r="A588" s="243"/>
      <c r="B588" s="243"/>
      <c r="C588" s="243"/>
      <c r="D588" s="243"/>
      <c r="E588" s="243"/>
      <c r="F588" s="243"/>
      <c r="G588" s="243"/>
      <c r="H588" s="243"/>
      <c r="I588" s="243"/>
      <c r="J588" s="243"/>
      <c r="K588" s="243"/>
      <c r="L588" s="243"/>
      <c r="M588" s="243"/>
      <c r="N588" s="246" t="s">
        <v>147</v>
      </c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4"/>
      <c r="AA588" s="244"/>
      <c r="AB588" s="244"/>
      <c r="AC588" s="244"/>
      <c r="AD588" s="245"/>
      <c r="AE588" s="245"/>
      <c r="AF588" s="245"/>
      <c r="AG588" s="245"/>
      <c r="AH588" s="245"/>
      <c r="AI588" s="245"/>
    </row>
    <row r="589" spans="1:51" x14ac:dyDescent="0.25">
      <c r="AJ589" s="247"/>
      <c r="AK589" s="247"/>
      <c r="AL589" s="247"/>
      <c r="AM589" s="247"/>
      <c r="AN589" s="247"/>
      <c r="AO589" s="247"/>
      <c r="AP589" s="247"/>
      <c r="AQ589" s="247"/>
      <c r="AR589" s="247"/>
      <c r="AS589" s="247"/>
      <c r="AT589" s="247"/>
      <c r="AU589" s="247"/>
    </row>
    <row r="590" spans="1:51" ht="12.75" customHeight="1" x14ac:dyDescent="0.25">
      <c r="J590" s="244" t="str">
        <f>[1]UnosPod!U1&amp;" ="</f>
        <v>2012 =</v>
      </c>
      <c r="K590" s="244"/>
      <c r="L590" s="244"/>
      <c r="M590" s="244"/>
      <c r="N590" s="248">
        <f>R301</f>
        <v>1341924</v>
      </c>
      <c r="O590" s="248"/>
      <c r="P590" s="248"/>
      <c r="Q590" s="248"/>
      <c r="R590" s="248"/>
      <c r="S590" s="248"/>
      <c r="T590" s="248"/>
      <c r="U590" s="248"/>
      <c r="V590" s="248"/>
      <c r="W590" s="248"/>
      <c r="X590" s="244" t="s">
        <v>129</v>
      </c>
      <c r="Y590" s="244"/>
      <c r="Z590" s="244"/>
      <c r="AA590" s="244"/>
      <c r="AB590" s="249">
        <f>N590/N591</f>
        <v>0.52179289170309395</v>
      </c>
      <c r="AC590" s="249"/>
      <c r="AD590" s="249"/>
      <c r="AE590" s="249"/>
      <c r="AF590" s="250"/>
      <c r="AG590" s="250"/>
      <c r="AH590" s="250"/>
      <c r="AI590" s="250"/>
      <c r="AJ590" s="251" t="str">
        <f>IF(AB590-AB593&gt;0,"POVEĆAN","SMANJEN")</f>
        <v>SMANJEN</v>
      </c>
      <c r="AK590" s="114"/>
      <c r="AL590" s="115"/>
      <c r="AM590" s="115"/>
      <c r="AN590" s="115"/>
      <c r="AO590" s="116">
        <f>ROUND(IF(AB590/AB593&gt;1,AB590/AB593*100-100,100-(AB590/AB593*100)),1)</f>
        <v>2.6</v>
      </c>
      <c r="AP590" s="116"/>
      <c r="AQ590" s="116"/>
      <c r="AR590" s="116"/>
      <c r="AS590" s="116"/>
      <c r="AT590" s="114" t="s">
        <v>33</v>
      </c>
      <c r="AU590" s="114"/>
      <c r="AY590" s="252"/>
    </row>
    <row r="591" spans="1:51" ht="12.75" customHeight="1" x14ac:dyDescent="0.25">
      <c r="J591" s="244"/>
      <c r="K591" s="244"/>
      <c r="L591" s="244"/>
      <c r="M591" s="244"/>
      <c r="N591" s="253">
        <f>R359+R361+0.00001</f>
        <v>2571756.0000100001</v>
      </c>
      <c r="O591" s="253"/>
      <c r="P591" s="253"/>
      <c r="Q591" s="253"/>
      <c r="R591" s="253"/>
      <c r="S591" s="253"/>
      <c r="T591" s="253"/>
      <c r="U591" s="253"/>
      <c r="V591" s="253"/>
      <c r="W591" s="253"/>
      <c r="X591" s="244"/>
      <c r="Y591" s="244"/>
      <c r="Z591" s="244"/>
      <c r="AA591" s="244"/>
      <c r="AB591" s="249"/>
      <c r="AC591" s="249"/>
      <c r="AD591" s="249"/>
      <c r="AE591" s="249"/>
      <c r="AF591" s="250"/>
      <c r="AG591" s="250"/>
      <c r="AH591" s="250"/>
      <c r="AI591" s="250"/>
    </row>
    <row r="593" spans="2:31" x14ac:dyDescent="0.25">
      <c r="J593" s="244" t="str">
        <f>[1]UnosPod!U1-1&amp;" ="</f>
        <v>2011 =</v>
      </c>
      <c r="K593" s="244"/>
      <c r="L593" s="244"/>
      <c r="M593" s="244"/>
      <c r="N593" s="248">
        <f>AD301</f>
        <v>1340752</v>
      </c>
      <c r="O593" s="248"/>
      <c r="P593" s="248"/>
      <c r="Q593" s="248"/>
      <c r="R593" s="248"/>
      <c r="S593" s="248"/>
      <c r="T593" s="248"/>
      <c r="U593" s="248"/>
      <c r="V593" s="248"/>
      <c r="W593" s="248"/>
      <c r="X593" s="244" t="s">
        <v>129</v>
      </c>
      <c r="Y593" s="244"/>
      <c r="Z593" s="244"/>
      <c r="AA593" s="244"/>
      <c r="AB593" s="249">
        <f>N593/N594</f>
        <v>0.53575261792112883</v>
      </c>
      <c r="AC593" s="249"/>
      <c r="AD593" s="249"/>
      <c r="AE593" s="249"/>
    </row>
    <row r="594" spans="2:31" x14ac:dyDescent="0.25">
      <c r="J594" s="244"/>
      <c r="K594" s="244"/>
      <c r="L594" s="244"/>
      <c r="M594" s="244"/>
      <c r="N594" s="253">
        <f>AD359+AD361+0.000001</f>
        <v>2502558.0000009998</v>
      </c>
      <c r="O594" s="253"/>
      <c r="P594" s="253"/>
      <c r="Q594" s="253"/>
      <c r="R594" s="253"/>
      <c r="S594" s="253"/>
      <c r="T594" s="253"/>
      <c r="U594" s="253"/>
      <c r="V594" s="253"/>
      <c r="W594" s="253"/>
      <c r="X594" s="244"/>
      <c r="Y594" s="244"/>
      <c r="Z594" s="244"/>
      <c r="AA594" s="244"/>
      <c r="AB594" s="249"/>
      <c r="AC594" s="249"/>
      <c r="AD594" s="249"/>
      <c r="AE594" s="249"/>
    </row>
    <row r="596" spans="2:31" x14ac:dyDescent="0.25">
      <c r="B596" s="118" t="str">
        <f>"Na dan "&amp;[1]UnosPod!M6&amp;[1]UnosPod!P6&amp;"g. preduzeće je sa "&amp;ROUND(AB590*100,2)&amp;" KM vlasničkog kapitala i dugoročnih obaveza finansiralo svakih"</f>
        <v>Na dan 30.06.2012.g. preduzeće je sa 52,18 KM vlasničkog kapitala i dugoročnih obaveza finansiralo svakih</v>
      </c>
    </row>
    <row r="597" spans="2:31" x14ac:dyDescent="0.25">
      <c r="B597" s="118" t="str">
        <f>"100 KM stalnih sredstava (dugoročne umovine), 31.12. prošle godine, za ovu namjenu imalo je "&amp;ROUND(AB593*100,2)&amp;" KM."</f>
        <v>100 KM stalnih sredstava (dugoročne umovine), 31.12. prošle godine, za ovu namjenu imalo je 53,58 KM.</v>
      </c>
    </row>
    <row r="598" spans="2:31" x14ac:dyDescent="0.25">
      <c r="B598" t="str">
        <f>"Ovaj pokazatelj je "&amp;AJ590&amp;" u odnosu na prošlu godinu za "&amp;ROUND(AO590,1)&amp;"%"</f>
        <v>Ovaj pokazatelj je SMANJEN u odnosu na prošlu godinu za 2,6%</v>
      </c>
    </row>
    <row r="610" spans="1:51" x14ac:dyDescent="0.25">
      <c r="B610" s="242" t="s">
        <v>148</v>
      </c>
    </row>
    <row r="612" spans="1:51" ht="12.75" customHeight="1" x14ac:dyDescent="0.25">
      <c r="A612" s="243" t="s">
        <v>149</v>
      </c>
      <c r="B612" s="243"/>
      <c r="C612" s="243"/>
      <c r="D612" s="243"/>
      <c r="E612" s="243"/>
      <c r="F612" s="243"/>
      <c r="G612" s="243"/>
      <c r="H612" s="243"/>
      <c r="I612" s="243"/>
      <c r="J612" s="243"/>
      <c r="K612" s="243"/>
      <c r="L612" s="243"/>
      <c r="M612" s="243"/>
      <c r="N612" s="118"/>
      <c r="O612" s="118" t="s">
        <v>150</v>
      </c>
      <c r="P612" s="118"/>
      <c r="Q612" s="118"/>
      <c r="R612" s="118"/>
      <c r="S612" s="118"/>
      <c r="T612" s="118"/>
      <c r="U612" s="118"/>
      <c r="V612" s="118"/>
      <c r="W612" s="118"/>
      <c r="X612" s="244" t="s">
        <v>129</v>
      </c>
      <c r="Y612" s="244"/>
      <c r="Z612" s="244"/>
      <c r="AA612" s="244"/>
      <c r="AB612" s="245"/>
      <c r="AC612" s="245"/>
      <c r="AD612" s="245"/>
      <c r="AE612" s="245"/>
      <c r="AF612" s="245"/>
      <c r="AG612" s="245"/>
      <c r="AH612" s="245"/>
      <c r="AI612" s="245"/>
    </row>
    <row r="613" spans="1:51" ht="14.25" customHeight="1" x14ac:dyDescent="0.25">
      <c r="A613" s="243"/>
      <c r="B613" s="243"/>
      <c r="C613" s="243"/>
      <c r="D613" s="243"/>
      <c r="E613" s="243"/>
      <c r="F613" s="243"/>
      <c r="G613" s="243"/>
      <c r="H613" s="243"/>
      <c r="I613" s="243"/>
      <c r="J613" s="243"/>
      <c r="K613" s="243"/>
      <c r="L613" s="243"/>
      <c r="M613" s="243"/>
      <c r="N613" s="246"/>
      <c r="O613" s="246" t="s">
        <v>151</v>
      </c>
      <c r="P613" s="246"/>
      <c r="Q613" s="246"/>
      <c r="R613" s="246"/>
      <c r="S613" s="246"/>
      <c r="T613" s="246"/>
      <c r="U613" s="246"/>
      <c r="V613" s="246"/>
      <c r="W613" s="246"/>
      <c r="X613" s="244"/>
      <c r="Y613" s="244"/>
      <c r="Z613" s="244"/>
      <c r="AA613" s="244"/>
      <c r="AB613" s="245"/>
      <c r="AC613" s="245"/>
      <c r="AD613" s="245"/>
      <c r="AE613" s="245"/>
      <c r="AF613" s="245"/>
      <c r="AG613" s="245"/>
      <c r="AH613" s="245"/>
      <c r="AI613" s="245"/>
    </row>
    <row r="614" spans="1:51" x14ac:dyDescent="0.25">
      <c r="AJ614" s="247"/>
      <c r="AK614" s="247"/>
      <c r="AL614" s="247"/>
      <c r="AM614" s="247"/>
      <c r="AN614" s="247"/>
      <c r="AO614" s="247"/>
      <c r="AP614" s="247"/>
      <c r="AQ614" s="247"/>
      <c r="AR614" s="247"/>
      <c r="AS614" s="247"/>
      <c r="AT614" s="247"/>
      <c r="AU614" s="247"/>
    </row>
    <row r="615" spans="1:51" ht="12.75" customHeight="1" x14ac:dyDescent="0.25">
      <c r="J615" s="244" t="str">
        <f>[1]UnosPod!U1&amp;" ="</f>
        <v>2012 =</v>
      </c>
      <c r="K615" s="244"/>
      <c r="L615" s="244"/>
      <c r="M615" s="244"/>
      <c r="N615" s="248">
        <f>R360</f>
        <v>45700</v>
      </c>
      <c r="O615" s="248"/>
      <c r="P615" s="248"/>
      <c r="Q615" s="248"/>
      <c r="R615" s="248"/>
      <c r="S615" s="248"/>
      <c r="T615" s="248"/>
      <c r="U615" s="248"/>
      <c r="V615" s="248"/>
      <c r="W615" s="248"/>
      <c r="X615" s="244" t="s">
        <v>129</v>
      </c>
      <c r="Y615" s="244"/>
      <c r="Z615" s="244"/>
      <c r="AA615" s="244"/>
      <c r="AB615" s="249">
        <f>N615/N616</f>
        <v>1.7459701328312684E-2</v>
      </c>
      <c r="AC615" s="249"/>
      <c r="AD615" s="249"/>
      <c r="AE615" s="249"/>
      <c r="AF615" s="250"/>
      <c r="AG615" s="250"/>
      <c r="AH615" s="250"/>
      <c r="AI615" s="250"/>
      <c r="AJ615" s="251" t="str">
        <f>IF(AB615-AB618&gt;0,"POVEĆAN","SMANJEN")</f>
        <v>SMANJEN</v>
      </c>
      <c r="AK615" s="114"/>
      <c r="AL615" s="115"/>
      <c r="AM615" s="115"/>
      <c r="AN615" s="115"/>
      <c r="AO615" s="116">
        <f>ROUND(IF(AB615/AB618&gt;1,AB615/AB618*100-100,100-(AB615/AB618*100)),1)</f>
        <v>38.4</v>
      </c>
      <c r="AP615" s="116"/>
      <c r="AQ615" s="116"/>
      <c r="AR615" s="116"/>
      <c r="AS615" s="116"/>
      <c r="AT615" s="114" t="s">
        <v>33</v>
      </c>
      <c r="AU615" s="114"/>
      <c r="AY615" s="252"/>
    </row>
    <row r="616" spans="1:51" ht="12.75" customHeight="1" x14ac:dyDescent="0.25">
      <c r="J616" s="244"/>
      <c r="K616" s="244"/>
      <c r="L616" s="244"/>
      <c r="M616" s="244"/>
      <c r="N616" s="253">
        <f>R314-R313</f>
        <v>2617456</v>
      </c>
      <c r="O616" s="253"/>
      <c r="P616" s="253"/>
      <c r="Q616" s="253"/>
      <c r="R616" s="253"/>
      <c r="S616" s="253"/>
      <c r="T616" s="253"/>
      <c r="U616" s="253"/>
      <c r="V616" s="253"/>
      <c r="W616" s="253"/>
      <c r="X616" s="244"/>
      <c r="Y616" s="244"/>
      <c r="Z616" s="244"/>
      <c r="AA616" s="244"/>
      <c r="AB616" s="249"/>
      <c r="AC616" s="249"/>
      <c r="AD616" s="249"/>
      <c r="AE616" s="249"/>
      <c r="AF616" s="250"/>
      <c r="AG616" s="250"/>
      <c r="AH616" s="250"/>
      <c r="AI616" s="250"/>
      <c r="AJ616" s="247"/>
      <c r="AK616" s="247"/>
      <c r="AL616" s="247"/>
      <c r="AM616" s="247"/>
      <c r="AN616" s="247"/>
      <c r="AO616" s="254"/>
      <c r="AP616" s="254"/>
      <c r="AQ616" s="254"/>
      <c r="AR616" s="254"/>
      <c r="AS616" s="254"/>
      <c r="AT616" s="247"/>
      <c r="AU616" s="247"/>
    </row>
    <row r="618" spans="1:51" x14ac:dyDescent="0.25">
      <c r="J618" s="244" t="str">
        <f>[1]UnosPod!U1-1&amp;" ="</f>
        <v>2011 =</v>
      </c>
      <c r="K618" s="244"/>
      <c r="L618" s="244"/>
      <c r="M618" s="244"/>
      <c r="N618" s="248">
        <f>AD360</f>
        <v>73052</v>
      </c>
      <c r="O618" s="248"/>
      <c r="P618" s="248"/>
      <c r="Q618" s="248"/>
      <c r="R618" s="248"/>
      <c r="S618" s="248"/>
      <c r="T618" s="248"/>
      <c r="U618" s="248"/>
      <c r="V618" s="248"/>
      <c r="W618" s="248"/>
      <c r="X618" s="244" t="s">
        <v>129</v>
      </c>
      <c r="Y618" s="244"/>
      <c r="Z618" s="244"/>
      <c r="AA618" s="244"/>
      <c r="AB618" s="249">
        <f>N618/N619</f>
        <v>2.8362989738353245E-2</v>
      </c>
      <c r="AC618" s="249"/>
      <c r="AD618" s="249"/>
      <c r="AE618" s="249"/>
    </row>
    <row r="619" spans="1:51" x14ac:dyDescent="0.25">
      <c r="J619" s="244"/>
      <c r="K619" s="244"/>
      <c r="L619" s="244"/>
      <c r="M619" s="244"/>
      <c r="N619" s="253">
        <f>AD314-AD313</f>
        <v>2575610</v>
      </c>
      <c r="O619" s="253"/>
      <c r="P619" s="253"/>
      <c r="Q619" s="253"/>
      <c r="R619" s="253"/>
      <c r="S619" s="253"/>
      <c r="T619" s="253"/>
      <c r="U619" s="253"/>
      <c r="V619" s="253"/>
      <c r="W619" s="253"/>
      <c r="X619" s="244"/>
      <c r="Y619" s="244"/>
      <c r="Z619" s="244"/>
      <c r="AA619" s="244"/>
      <c r="AB619" s="249"/>
      <c r="AC619" s="249"/>
      <c r="AD619" s="249"/>
      <c r="AE619" s="249"/>
    </row>
    <row r="621" spans="1:51" x14ac:dyDescent="0.25">
      <c r="B621" s="118" t="str">
        <f>"Na dan "&amp;[1]UnosPod!M6&amp;[1]UnosPod!P6&amp;"godine, ukupna imovina finansirana je iz tuđih sredstava sa "&amp;ROUND(AB615*100,2)&amp;"% ili sa "&amp;N615&amp;" KM."</f>
        <v>Na dan 30.06.2012.godine, ukupna imovina finansirana je iz tuđih sredstava sa 1,75% ili sa 45700 KM.</v>
      </c>
    </row>
    <row r="622" spans="1:51" x14ac:dyDescent="0.25">
      <c r="B622" s="118" t="str">
        <f>"31.12. prošle godine, zaduženost je bila "&amp;ROUND(AB618*100,2)&amp;"%."</f>
        <v>31.12. prošle godine, zaduženost je bila 2,84%.</v>
      </c>
    </row>
    <row r="623" spans="1:51" x14ac:dyDescent="0.25">
      <c r="B623" t="str">
        <f>"Ovaj pokazatelj je "&amp;AJ615&amp;" u odnosu na prošlu godinu za "&amp;ROUND(AO615,1)&amp;"%"</f>
        <v>Ovaj pokazatelj je SMANJEN u odnosu na prošlu godinu za 38,4%</v>
      </c>
    </row>
    <row r="626" spans="1:51" ht="12.75" customHeight="1" x14ac:dyDescent="0.25">
      <c r="A626" s="243" t="s">
        <v>152</v>
      </c>
      <c r="B626" s="243"/>
      <c r="C626" s="243"/>
      <c r="D626" s="243"/>
      <c r="E626" s="243"/>
      <c r="F626" s="243"/>
      <c r="G626" s="243"/>
      <c r="H626" s="243"/>
      <c r="I626" s="243"/>
      <c r="J626" s="243"/>
      <c r="K626" s="243"/>
      <c r="L626" s="243"/>
      <c r="M626" s="243"/>
      <c r="N626" s="118"/>
      <c r="O626" s="118" t="s">
        <v>153</v>
      </c>
      <c r="P626" s="118"/>
      <c r="Q626" s="118"/>
      <c r="R626" s="118"/>
      <c r="S626" s="118"/>
      <c r="T626" s="118"/>
      <c r="U626" s="118"/>
      <c r="V626" s="118"/>
      <c r="W626" s="118"/>
      <c r="X626" s="244" t="s">
        <v>129</v>
      </c>
      <c r="Y626" s="244"/>
      <c r="Z626" s="244"/>
      <c r="AA626" s="244"/>
      <c r="AB626" s="245"/>
      <c r="AC626" s="245"/>
      <c r="AD626" s="245"/>
      <c r="AE626" s="245"/>
      <c r="AF626" s="245"/>
      <c r="AG626" s="245"/>
      <c r="AH626" s="245"/>
      <c r="AI626" s="245"/>
    </row>
    <row r="627" spans="1:51" ht="14.25" customHeight="1" x14ac:dyDescent="0.25">
      <c r="A627" s="243"/>
      <c r="B627" s="243"/>
      <c r="C627" s="243"/>
      <c r="D627" s="243"/>
      <c r="E627" s="243"/>
      <c r="F627" s="243"/>
      <c r="G627" s="243"/>
      <c r="H627" s="243"/>
      <c r="I627" s="243"/>
      <c r="J627" s="243"/>
      <c r="K627" s="243"/>
      <c r="L627" s="243"/>
      <c r="M627" s="243"/>
      <c r="N627" s="246"/>
      <c r="O627" s="246" t="s">
        <v>151</v>
      </c>
      <c r="P627" s="246"/>
      <c r="Q627" s="246"/>
      <c r="R627" s="246"/>
      <c r="S627" s="246"/>
      <c r="T627" s="246"/>
      <c r="U627" s="246"/>
      <c r="V627" s="246"/>
      <c r="W627" s="246"/>
      <c r="X627" s="244"/>
      <c r="Y627" s="244"/>
      <c r="Z627" s="244"/>
      <c r="AA627" s="244"/>
      <c r="AB627" s="245"/>
      <c r="AC627" s="245"/>
      <c r="AD627" s="245"/>
      <c r="AE627" s="245"/>
      <c r="AF627" s="245"/>
      <c r="AG627" s="245"/>
      <c r="AH627" s="245"/>
      <c r="AI627" s="245"/>
    </row>
    <row r="628" spans="1:51" x14ac:dyDescent="0.25">
      <c r="AJ628" s="247"/>
      <c r="AK628" s="247"/>
      <c r="AL628" s="247"/>
      <c r="AM628" s="247"/>
      <c r="AN628" s="247"/>
      <c r="AO628" s="247"/>
      <c r="AP628" s="247"/>
      <c r="AQ628" s="247"/>
      <c r="AR628" s="247"/>
      <c r="AS628" s="247"/>
      <c r="AT628" s="247"/>
      <c r="AU628" s="247"/>
    </row>
    <row r="629" spans="1:51" ht="12.75" customHeight="1" x14ac:dyDescent="0.25">
      <c r="J629" s="244" t="str">
        <f>[1]UnosPod!U1&amp;" ="</f>
        <v>2012 =</v>
      </c>
      <c r="K629" s="244"/>
      <c r="L629" s="244"/>
      <c r="M629" s="244"/>
      <c r="N629" s="248">
        <f>R359</f>
        <v>2571756</v>
      </c>
      <c r="O629" s="248"/>
      <c r="P629" s="248"/>
      <c r="Q629" s="248"/>
      <c r="R629" s="248"/>
      <c r="S629" s="248"/>
      <c r="T629" s="248"/>
      <c r="U629" s="248"/>
      <c r="V629" s="248"/>
      <c r="W629" s="248"/>
      <c r="X629" s="244" t="s">
        <v>129</v>
      </c>
      <c r="Y629" s="244"/>
      <c r="Z629" s="244"/>
      <c r="AA629" s="244"/>
      <c r="AB629" s="249">
        <f>N629/N630</f>
        <v>0.98254029867168735</v>
      </c>
      <c r="AC629" s="249"/>
      <c r="AD629" s="249"/>
      <c r="AE629" s="249"/>
      <c r="AF629" s="250"/>
      <c r="AG629" s="250"/>
      <c r="AH629" s="250"/>
      <c r="AI629" s="250"/>
      <c r="AJ629" s="251" t="str">
        <f>IF(AB629-AB632&gt;0,"POVEĆAN","SMANJEN")</f>
        <v>POVEĆAN</v>
      </c>
      <c r="AK629" s="114"/>
      <c r="AL629" s="115"/>
      <c r="AM629" s="115"/>
      <c r="AN629" s="115"/>
      <c r="AO629" s="116">
        <f>ROUND(IF(AB629/AB632&gt;1,AB629/AB632*100-100,100-(AB629/AB632*100)),1)</f>
        <v>1.1000000000000001</v>
      </c>
      <c r="AP629" s="116"/>
      <c r="AQ629" s="116"/>
      <c r="AR629" s="116"/>
      <c r="AS629" s="116"/>
      <c r="AT629" s="114" t="s">
        <v>33</v>
      </c>
      <c r="AU629" s="114"/>
      <c r="AY629" s="252"/>
    </row>
    <row r="630" spans="1:51" ht="12.75" customHeight="1" x14ac:dyDescent="0.25">
      <c r="J630" s="244"/>
      <c r="K630" s="244"/>
      <c r="L630" s="244"/>
      <c r="M630" s="244"/>
      <c r="N630" s="253">
        <f>R314-R313</f>
        <v>2617456</v>
      </c>
      <c r="O630" s="253"/>
      <c r="P630" s="253"/>
      <c r="Q630" s="253"/>
      <c r="R630" s="253"/>
      <c r="S630" s="253"/>
      <c r="T630" s="253"/>
      <c r="U630" s="253"/>
      <c r="V630" s="253"/>
      <c r="W630" s="253"/>
      <c r="X630" s="244"/>
      <c r="Y630" s="244"/>
      <c r="Z630" s="244"/>
      <c r="AA630" s="244"/>
      <c r="AB630" s="249"/>
      <c r="AC630" s="249"/>
      <c r="AD630" s="249"/>
      <c r="AE630" s="249"/>
      <c r="AF630" s="250"/>
      <c r="AG630" s="250"/>
      <c r="AH630" s="250"/>
      <c r="AI630" s="250"/>
      <c r="AJ630" s="247"/>
      <c r="AK630" s="247"/>
      <c r="AL630" s="247"/>
      <c r="AM630" s="247"/>
      <c r="AN630" s="247"/>
      <c r="AO630" s="254"/>
      <c r="AP630" s="254"/>
      <c r="AQ630" s="254"/>
      <c r="AR630" s="254"/>
      <c r="AS630" s="254"/>
      <c r="AT630" s="247"/>
      <c r="AU630" s="247"/>
    </row>
    <row r="632" spans="1:51" x14ac:dyDescent="0.25">
      <c r="J632" s="244" t="str">
        <f>[1]UnosPod!U1-1&amp;" ="</f>
        <v>2011 =</v>
      </c>
      <c r="K632" s="244"/>
      <c r="L632" s="244"/>
      <c r="M632" s="244"/>
      <c r="N632" s="248">
        <f>AD359</f>
        <v>2502558</v>
      </c>
      <c r="O632" s="248"/>
      <c r="P632" s="248"/>
      <c r="Q632" s="248"/>
      <c r="R632" s="248"/>
      <c r="S632" s="248"/>
      <c r="T632" s="248"/>
      <c r="U632" s="248"/>
      <c r="V632" s="248"/>
      <c r="W632" s="248"/>
      <c r="X632" s="244" t="s">
        <v>129</v>
      </c>
      <c r="Y632" s="244"/>
      <c r="Z632" s="244"/>
      <c r="AA632" s="244"/>
      <c r="AB632" s="249">
        <f>N632/N633</f>
        <v>0.97163701026164673</v>
      </c>
      <c r="AC632" s="249"/>
      <c r="AD632" s="249"/>
      <c r="AE632" s="249"/>
    </row>
    <row r="633" spans="1:51" x14ac:dyDescent="0.25">
      <c r="J633" s="244"/>
      <c r="K633" s="244"/>
      <c r="L633" s="244"/>
      <c r="M633" s="244"/>
      <c r="N633" s="253">
        <f>AD314-AD313</f>
        <v>2575610</v>
      </c>
      <c r="O633" s="253"/>
      <c r="P633" s="253"/>
      <c r="Q633" s="253"/>
      <c r="R633" s="253"/>
      <c r="S633" s="253"/>
      <c r="T633" s="253"/>
      <c r="U633" s="253"/>
      <c r="V633" s="253"/>
      <c r="W633" s="253"/>
      <c r="X633" s="244"/>
      <c r="Y633" s="244"/>
      <c r="Z633" s="244"/>
      <c r="AA633" s="244"/>
      <c r="AB633" s="249"/>
      <c r="AC633" s="249"/>
      <c r="AD633" s="249"/>
      <c r="AE633" s="249"/>
    </row>
    <row r="635" spans="1:51" x14ac:dyDescent="0.25">
      <c r="B635" s="118" t="str">
        <f>"Na dan "&amp;[1]UnosPod!M6&amp;[1]UnosPod!P6&amp;"godine, ukupna imovina finansirana je iz vlastitih sredstava sa "&amp;ROUND(AB629*100,2)&amp;"% ili sa "&amp;N629&amp;" KM."</f>
        <v>Na dan 30.06.2012.godine, ukupna imovina finansirana je iz vlastitih sredstava sa 98,25% ili sa 2571756 KM.</v>
      </c>
    </row>
    <row r="636" spans="1:51" x14ac:dyDescent="0.25">
      <c r="B636" s="118" t="str">
        <f>"31.12. prošle godine, vlastito finansiranje je bila "&amp;ROUND(AB632*100,2)&amp;"%."</f>
        <v>31.12. prošle godine, vlastito finansiranje je bila 97,16%.</v>
      </c>
    </row>
    <row r="637" spans="1:51" x14ac:dyDescent="0.25">
      <c r="B637" t="str">
        <f>"Ovaj pokazatelj je "&amp;AJ629&amp;" u odnosu na prošlu godinu za "&amp;ROUND(AO629,1)&amp;"%"</f>
        <v>Ovaj pokazatelj je POVEĆAN u odnosu na prošlu godinu za 1,1%</v>
      </c>
    </row>
    <row r="641" spans="2:2" x14ac:dyDescent="0.25">
      <c r="B641" t="s">
        <v>154</v>
      </c>
    </row>
  </sheetData>
  <mergeCells count="486">
    <mergeCell ref="J632:M633"/>
    <mergeCell ref="N632:W632"/>
    <mergeCell ref="X632:AA633"/>
    <mergeCell ref="AB632:AE633"/>
    <mergeCell ref="N633:W633"/>
    <mergeCell ref="J629:M630"/>
    <mergeCell ref="N629:W629"/>
    <mergeCell ref="X629:AA630"/>
    <mergeCell ref="AB629:AE630"/>
    <mergeCell ref="AO629:AS629"/>
    <mergeCell ref="N630:W630"/>
    <mergeCell ref="J618:M619"/>
    <mergeCell ref="N618:W618"/>
    <mergeCell ref="X618:AA619"/>
    <mergeCell ref="AB618:AE619"/>
    <mergeCell ref="N619:W619"/>
    <mergeCell ref="A626:M627"/>
    <mergeCell ref="X626:AA627"/>
    <mergeCell ref="J615:M616"/>
    <mergeCell ref="N615:W615"/>
    <mergeCell ref="X615:AA616"/>
    <mergeCell ref="AB615:AE616"/>
    <mergeCell ref="AO615:AS615"/>
    <mergeCell ref="N616:W616"/>
    <mergeCell ref="J593:M594"/>
    <mergeCell ref="N593:W593"/>
    <mergeCell ref="X593:AA594"/>
    <mergeCell ref="AB593:AE594"/>
    <mergeCell ref="N594:W594"/>
    <mergeCell ref="A612:M613"/>
    <mergeCell ref="X612:AA613"/>
    <mergeCell ref="J590:M591"/>
    <mergeCell ref="N590:W590"/>
    <mergeCell ref="X590:AA591"/>
    <mergeCell ref="AB590:AE591"/>
    <mergeCell ref="AO590:AS590"/>
    <mergeCell ref="N591:W591"/>
    <mergeCell ref="J579:M580"/>
    <mergeCell ref="N579:W579"/>
    <mergeCell ref="X579:AA580"/>
    <mergeCell ref="AB579:AE580"/>
    <mergeCell ref="N580:W580"/>
    <mergeCell ref="A587:M588"/>
    <mergeCell ref="Z587:AC588"/>
    <mergeCell ref="J576:M577"/>
    <mergeCell ref="N576:W576"/>
    <mergeCell ref="X576:AA577"/>
    <mergeCell ref="AB576:AE577"/>
    <mergeCell ref="AO576:AS576"/>
    <mergeCell ref="N577:W577"/>
    <mergeCell ref="J565:M566"/>
    <mergeCell ref="N565:W565"/>
    <mergeCell ref="X565:AA566"/>
    <mergeCell ref="AB565:AE566"/>
    <mergeCell ref="N566:W566"/>
    <mergeCell ref="A573:M574"/>
    <mergeCell ref="X573:AA574"/>
    <mergeCell ref="J562:M563"/>
    <mergeCell ref="N562:W562"/>
    <mergeCell ref="X562:AA563"/>
    <mergeCell ref="AB562:AE563"/>
    <mergeCell ref="AO562:AS562"/>
    <mergeCell ref="N563:W563"/>
    <mergeCell ref="J551:M552"/>
    <mergeCell ref="N551:W551"/>
    <mergeCell ref="X551:AA552"/>
    <mergeCell ref="AB551:AE552"/>
    <mergeCell ref="N552:W552"/>
    <mergeCell ref="A559:M560"/>
    <mergeCell ref="X559:AA560"/>
    <mergeCell ref="J548:M549"/>
    <mergeCell ref="N548:W548"/>
    <mergeCell ref="X548:AA549"/>
    <mergeCell ref="AB548:AE549"/>
    <mergeCell ref="AO548:AS548"/>
    <mergeCell ref="N549:W549"/>
    <mergeCell ref="J531:M532"/>
    <mergeCell ref="N531:W531"/>
    <mergeCell ref="X531:AA532"/>
    <mergeCell ref="AB531:AE532"/>
    <mergeCell ref="N532:W532"/>
    <mergeCell ref="A545:M546"/>
    <mergeCell ref="X545:AA546"/>
    <mergeCell ref="J528:M529"/>
    <mergeCell ref="N528:W528"/>
    <mergeCell ref="X528:AA529"/>
    <mergeCell ref="AB528:AE529"/>
    <mergeCell ref="AO528:AS528"/>
    <mergeCell ref="N529:W529"/>
    <mergeCell ref="J517:M518"/>
    <mergeCell ref="N517:W517"/>
    <mergeCell ref="X517:AA518"/>
    <mergeCell ref="AB517:AE518"/>
    <mergeCell ref="N518:W518"/>
    <mergeCell ref="A525:M526"/>
    <mergeCell ref="X525:AA526"/>
    <mergeCell ref="J514:M515"/>
    <mergeCell ref="N514:W514"/>
    <mergeCell ref="X514:AA515"/>
    <mergeCell ref="AB514:AE515"/>
    <mergeCell ref="AO514:AS514"/>
    <mergeCell ref="N515:W515"/>
    <mergeCell ref="J501:M502"/>
    <mergeCell ref="N501:W501"/>
    <mergeCell ref="X501:AA502"/>
    <mergeCell ref="AB501:AE502"/>
    <mergeCell ref="N502:W502"/>
    <mergeCell ref="A511:M512"/>
    <mergeCell ref="X511:AA512"/>
    <mergeCell ref="J498:M499"/>
    <mergeCell ref="N498:W498"/>
    <mergeCell ref="X498:AA499"/>
    <mergeCell ref="AB498:AE499"/>
    <mergeCell ref="AO498:AS498"/>
    <mergeCell ref="N499:W499"/>
    <mergeCell ref="J487:M488"/>
    <mergeCell ref="N487:W487"/>
    <mergeCell ref="X487:AA488"/>
    <mergeCell ref="AB487:AE488"/>
    <mergeCell ref="N488:W488"/>
    <mergeCell ref="A495:M496"/>
    <mergeCell ref="X495:AA496"/>
    <mergeCell ref="J484:M485"/>
    <mergeCell ref="N484:W484"/>
    <mergeCell ref="X484:AA485"/>
    <mergeCell ref="AB484:AE485"/>
    <mergeCell ref="AO484:AS484"/>
    <mergeCell ref="N485:W485"/>
    <mergeCell ref="J446:Q446"/>
    <mergeCell ref="R446:U446"/>
    <mergeCell ref="V446:AC446"/>
    <mergeCell ref="AD446:AG446"/>
    <mergeCell ref="AH446:AN446"/>
    <mergeCell ref="A481:M482"/>
    <mergeCell ref="X481:AA482"/>
    <mergeCell ref="H445:I445"/>
    <mergeCell ref="J445:Q445"/>
    <mergeCell ref="R445:U445"/>
    <mergeCell ref="V445:AC445"/>
    <mergeCell ref="AD445:AG445"/>
    <mergeCell ref="AH445:AN445"/>
    <mergeCell ref="H444:I444"/>
    <mergeCell ref="J444:Q444"/>
    <mergeCell ref="R444:U444"/>
    <mergeCell ref="V444:AC444"/>
    <mergeCell ref="AD444:AG444"/>
    <mergeCell ref="AH444:AN444"/>
    <mergeCell ref="H443:I443"/>
    <mergeCell ref="J443:Q443"/>
    <mergeCell ref="R443:U443"/>
    <mergeCell ref="V443:AC443"/>
    <mergeCell ref="AD443:AG443"/>
    <mergeCell ref="AH443:AN443"/>
    <mergeCell ref="B442:I442"/>
    <mergeCell ref="J442:Q442"/>
    <mergeCell ref="R442:U442"/>
    <mergeCell ref="V442:AC442"/>
    <mergeCell ref="AD442:AG442"/>
    <mergeCell ref="AH442:AN442"/>
    <mergeCell ref="B441:I441"/>
    <mergeCell ref="J441:Q441"/>
    <mergeCell ref="R441:U441"/>
    <mergeCell ref="V441:AC441"/>
    <mergeCell ref="AD441:AG441"/>
    <mergeCell ref="AH441:AN441"/>
    <mergeCell ref="J434:Q434"/>
    <mergeCell ref="R434:U434"/>
    <mergeCell ref="V434:AC434"/>
    <mergeCell ref="AD434:AG434"/>
    <mergeCell ref="AH434:AN434"/>
    <mergeCell ref="B440:I440"/>
    <mergeCell ref="J440:U440"/>
    <mergeCell ref="V440:AG440"/>
    <mergeCell ref="AH440:AN440"/>
    <mergeCell ref="H433:I433"/>
    <mergeCell ref="J433:Q433"/>
    <mergeCell ref="R433:U433"/>
    <mergeCell ref="V433:AC433"/>
    <mergeCell ref="AD433:AG433"/>
    <mergeCell ref="AH433:AN433"/>
    <mergeCell ref="H432:I432"/>
    <mergeCell ref="J432:Q432"/>
    <mergeCell ref="R432:U432"/>
    <mergeCell ref="V432:AC432"/>
    <mergeCell ref="AD432:AG432"/>
    <mergeCell ref="AH432:AN432"/>
    <mergeCell ref="H431:I431"/>
    <mergeCell ref="J431:Q431"/>
    <mergeCell ref="R431:U431"/>
    <mergeCell ref="V431:AC431"/>
    <mergeCell ref="AD431:AG431"/>
    <mergeCell ref="AH431:AN431"/>
    <mergeCell ref="B430:I430"/>
    <mergeCell ref="J430:Q430"/>
    <mergeCell ref="R430:U430"/>
    <mergeCell ref="V430:AC430"/>
    <mergeCell ref="AD430:AG430"/>
    <mergeCell ref="AH430:AN430"/>
    <mergeCell ref="B428:I428"/>
    <mergeCell ref="J428:U428"/>
    <mergeCell ref="V428:AG428"/>
    <mergeCell ref="AH428:AN428"/>
    <mergeCell ref="B429:I429"/>
    <mergeCell ref="J429:Q429"/>
    <mergeCell ref="R429:U429"/>
    <mergeCell ref="V429:AC429"/>
    <mergeCell ref="AD429:AG429"/>
    <mergeCell ref="AH429:AN429"/>
    <mergeCell ref="R363:Y363"/>
    <mergeCell ref="Z363:AC363"/>
    <mergeCell ref="AD363:AK363"/>
    <mergeCell ref="AL363:AO363"/>
    <mergeCell ref="AP363:AT363"/>
    <mergeCell ref="R364:Y364"/>
    <mergeCell ref="Z364:AC364"/>
    <mergeCell ref="AD364:AK364"/>
    <mergeCell ref="AL364:AO364"/>
    <mergeCell ref="AP364:AT364"/>
    <mergeCell ref="R361:Y361"/>
    <mergeCell ref="Z361:AC361"/>
    <mergeCell ref="AD361:AK361"/>
    <mergeCell ref="AL361:AO361"/>
    <mergeCell ref="AP361:AT361"/>
    <mergeCell ref="R362:Y362"/>
    <mergeCell ref="Z362:AC362"/>
    <mergeCell ref="AD362:AK362"/>
    <mergeCell ref="AL362:AO362"/>
    <mergeCell ref="AP362:AT362"/>
    <mergeCell ref="R359:Y359"/>
    <mergeCell ref="Z359:AC359"/>
    <mergeCell ref="AD359:AK359"/>
    <mergeCell ref="AL359:AO359"/>
    <mergeCell ref="AP359:AT359"/>
    <mergeCell ref="R360:Y360"/>
    <mergeCell ref="Z360:AC360"/>
    <mergeCell ref="AD360:AK360"/>
    <mergeCell ref="AL360:AO360"/>
    <mergeCell ref="AP360:AT360"/>
    <mergeCell ref="B358:Q358"/>
    <mergeCell ref="R358:Y358"/>
    <mergeCell ref="Z358:AC358"/>
    <mergeCell ref="AD358:AK358"/>
    <mergeCell ref="AL358:AO358"/>
    <mergeCell ref="AP358:AT358"/>
    <mergeCell ref="B357:Q357"/>
    <mergeCell ref="R357:Y357"/>
    <mergeCell ref="Z357:AC357"/>
    <mergeCell ref="AD357:AK357"/>
    <mergeCell ref="AL357:AO357"/>
    <mergeCell ref="AP357:AT357"/>
    <mergeCell ref="R314:Y314"/>
    <mergeCell ref="Z314:AC314"/>
    <mergeCell ref="AD314:AK314"/>
    <mergeCell ref="AL314:AO314"/>
    <mergeCell ref="AP314:AT314"/>
    <mergeCell ref="B356:Q356"/>
    <mergeCell ref="R356:AC356"/>
    <mergeCell ref="AD356:AO356"/>
    <mergeCell ref="AP356:AT356"/>
    <mergeCell ref="R312:Y312"/>
    <mergeCell ref="Z312:AC312"/>
    <mergeCell ref="AD312:AK312"/>
    <mergeCell ref="AL312:AO312"/>
    <mergeCell ref="AP312:AT312"/>
    <mergeCell ref="R313:Y313"/>
    <mergeCell ref="Z313:AC313"/>
    <mergeCell ref="AD313:AK313"/>
    <mergeCell ref="AL313:AO313"/>
    <mergeCell ref="AP313:AT313"/>
    <mergeCell ref="R310:Y310"/>
    <mergeCell ref="Z310:AC310"/>
    <mergeCell ref="AD310:AK310"/>
    <mergeCell ref="AL310:AO310"/>
    <mergeCell ref="AP310:AT310"/>
    <mergeCell ref="R311:Y311"/>
    <mergeCell ref="Z311:AC311"/>
    <mergeCell ref="AD311:AK311"/>
    <mergeCell ref="AL311:AO311"/>
    <mergeCell ref="AP311:AT311"/>
    <mergeCell ref="R308:Y308"/>
    <mergeCell ref="Z308:AC308"/>
    <mergeCell ref="AD308:AK308"/>
    <mergeCell ref="AL308:AO308"/>
    <mergeCell ref="AP308:AT308"/>
    <mergeCell ref="R309:Y309"/>
    <mergeCell ref="Z309:AC309"/>
    <mergeCell ref="AD309:AK309"/>
    <mergeCell ref="AL309:AO309"/>
    <mergeCell ref="AP309:AT309"/>
    <mergeCell ref="B307:Q307"/>
    <mergeCell ref="R307:Y307"/>
    <mergeCell ref="Z307:AC307"/>
    <mergeCell ref="AD307:AK307"/>
    <mergeCell ref="AL307:AO307"/>
    <mergeCell ref="AP307:AT307"/>
    <mergeCell ref="R305:Y305"/>
    <mergeCell ref="Z305:AC305"/>
    <mergeCell ref="AD305:AK305"/>
    <mergeCell ref="AL305:AO305"/>
    <mergeCell ref="AP305:AT305"/>
    <mergeCell ref="R306:Y306"/>
    <mergeCell ref="Z306:AC306"/>
    <mergeCell ref="AD306:AK306"/>
    <mergeCell ref="AL306:AO306"/>
    <mergeCell ref="AP306:AT306"/>
    <mergeCell ref="R303:Y303"/>
    <mergeCell ref="Z303:AC303"/>
    <mergeCell ref="AD303:AK303"/>
    <mergeCell ref="AL303:AO303"/>
    <mergeCell ref="AP303:AT303"/>
    <mergeCell ref="R304:Y304"/>
    <mergeCell ref="Z304:AC304"/>
    <mergeCell ref="AD304:AK304"/>
    <mergeCell ref="AL304:AO304"/>
    <mergeCell ref="AP304:AT304"/>
    <mergeCell ref="R301:Y301"/>
    <mergeCell ref="Z301:AC301"/>
    <mergeCell ref="AD301:AK301"/>
    <mergeCell ref="AL301:AO301"/>
    <mergeCell ref="AP301:AT301"/>
    <mergeCell ref="R302:Y302"/>
    <mergeCell ref="Z302:AC302"/>
    <mergeCell ref="AD302:AK302"/>
    <mergeCell ref="AL302:AO302"/>
    <mergeCell ref="AP302:AT302"/>
    <mergeCell ref="B300:Q300"/>
    <mergeCell ref="R300:Y300"/>
    <mergeCell ref="Z300:AC300"/>
    <mergeCell ref="AD300:AK300"/>
    <mergeCell ref="AL300:AO300"/>
    <mergeCell ref="AP300:AT300"/>
    <mergeCell ref="B299:Q299"/>
    <mergeCell ref="R299:Y299"/>
    <mergeCell ref="Z299:AC299"/>
    <mergeCell ref="AD299:AK299"/>
    <mergeCell ref="AL299:AO299"/>
    <mergeCell ref="AP299:AT299"/>
    <mergeCell ref="A283:AS283"/>
    <mergeCell ref="H290:AY290"/>
    <mergeCell ref="B298:Q298"/>
    <mergeCell ref="R298:AC298"/>
    <mergeCell ref="AD298:AO298"/>
    <mergeCell ref="AP298:AT298"/>
    <mergeCell ref="A240:AT243"/>
    <mergeCell ref="A244:AT247"/>
    <mergeCell ref="A259:AT262"/>
    <mergeCell ref="A263:AT265"/>
    <mergeCell ref="A266:AT266"/>
    <mergeCell ref="A279:AT282"/>
    <mergeCell ref="R187:Y187"/>
    <mergeCell ref="Z187:AG187"/>
    <mergeCell ref="AH187:AL187"/>
    <mergeCell ref="R188:Y188"/>
    <mergeCell ref="Z188:AG188"/>
    <mergeCell ref="AH188:AL188"/>
    <mergeCell ref="R185:Y185"/>
    <mergeCell ref="Z185:AG185"/>
    <mergeCell ref="AH185:AL185"/>
    <mergeCell ref="R186:Y186"/>
    <mergeCell ref="Z186:AG186"/>
    <mergeCell ref="AH186:AL186"/>
    <mergeCell ref="B183:Q183"/>
    <mergeCell ref="R183:Y183"/>
    <mergeCell ref="Z183:AG183"/>
    <mergeCell ref="AH183:AL183"/>
    <mergeCell ref="R184:Y184"/>
    <mergeCell ref="Z184:AG184"/>
    <mergeCell ref="AH184:AL184"/>
    <mergeCell ref="AP145:AT145"/>
    <mergeCell ref="B181:Q181"/>
    <mergeCell ref="R181:Y181"/>
    <mergeCell ref="Z181:AG181"/>
    <mergeCell ref="AH181:AL181"/>
    <mergeCell ref="B182:Q182"/>
    <mergeCell ref="R182:Y182"/>
    <mergeCell ref="Z182:AG182"/>
    <mergeCell ref="AH182:AL182"/>
    <mergeCell ref="R143:Y143"/>
    <mergeCell ref="Z143:AC143"/>
    <mergeCell ref="AD143:AK143"/>
    <mergeCell ref="AL143:AO143"/>
    <mergeCell ref="AP143:AT143"/>
    <mergeCell ref="R144:Y144"/>
    <mergeCell ref="AD144:AK144"/>
    <mergeCell ref="P142:Q142"/>
    <mergeCell ref="R142:Y142"/>
    <mergeCell ref="Z142:AC142"/>
    <mergeCell ref="AD142:AK142"/>
    <mergeCell ref="AL142:AO142"/>
    <mergeCell ref="AP142:AT142"/>
    <mergeCell ref="P141:Q141"/>
    <mergeCell ref="R141:Y141"/>
    <mergeCell ref="Z141:AC141"/>
    <mergeCell ref="AD141:AK141"/>
    <mergeCell ref="AL141:AO141"/>
    <mergeCell ref="AP141:AT141"/>
    <mergeCell ref="P140:Q140"/>
    <mergeCell ref="R140:Y140"/>
    <mergeCell ref="Z140:AC140"/>
    <mergeCell ref="AD140:AK140"/>
    <mergeCell ref="AL140:AO140"/>
    <mergeCell ref="AP140:AT140"/>
    <mergeCell ref="B139:Q139"/>
    <mergeCell ref="R139:Y139"/>
    <mergeCell ref="Z139:AC139"/>
    <mergeCell ref="AD139:AK139"/>
    <mergeCell ref="AL139:AO139"/>
    <mergeCell ref="AP139:AT139"/>
    <mergeCell ref="B138:Q138"/>
    <mergeCell ref="R138:Y138"/>
    <mergeCell ref="Z138:AC138"/>
    <mergeCell ref="AD138:AK138"/>
    <mergeCell ref="AL138:AO138"/>
    <mergeCell ref="AP138:AT138"/>
    <mergeCell ref="AP102:AT102"/>
    <mergeCell ref="A121:AT130"/>
    <mergeCell ref="B137:Q137"/>
    <mergeCell ref="R137:AC137"/>
    <mergeCell ref="AD137:AO137"/>
    <mergeCell ref="AP137:AT137"/>
    <mergeCell ref="R100:Y100"/>
    <mergeCell ref="Z100:AC100"/>
    <mergeCell ref="AD100:AK100"/>
    <mergeCell ref="AL100:AO100"/>
    <mergeCell ref="AP100:AT100"/>
    <mergeCell ref="R101:Y101"/>
    <mergeCell ref="AD101:AK101"/>
    <mergeCell ref="P99:Q99"/>
    <mergeCell ref="R99:Y99"/>
    <mergeCell ref="Z99:AC99"/>
    <mergeCell ref="AD99:AK99"/>
    <mergeCell ref="AL99:AO99"/>
    <mergeCell ref="AP99:AT99"/>
    <mergeCell ref="P98:Q98"/>
    <mergeCell ref="R98:Y98"/>
    <mergeCell ref="Z98:AC98"/>
    <mergeCell ref="AD98:AK98"/>
    <mergeCell ref="AL98:AO98"/>
    <mergeCell ref="AP98:AT98"/>
    <mergeCell ref="P97:Q97"/>
    <mergeCell ref="R97:Y97"/>
    <mergeCell ref="Z97:AC97"/>
    <mergeCell ref="AD97:AK97"/>
    <mergeCell ref="AL97:AO97"/>
    <mergeCell ref="AP97:AT97"/>
    <mergeCell ref="AP95:AT95"/>
    <mergeCell ref="B96:Q96"/>
    <mergeCell ref="R96:Y96"/>
    <mergeCell ref="Z96:AC96"/>
    <mergeCell ref="AD96:AK96"/>
    <mergeCell ref="AL96:AO96"/>
    <mergeCell ref="AP96:AT96"/>
    <mergeCell ref="A85:AT87"/>
    <mergeCell ref="B94:Q94"/>
    <mergeCell ref="R94:AC94"/>
    <mergeCell ref="AD94:AO94"/>
    <mergeCell ref="AP94:AT94"/>
    <mergeCell ref="B95:Q95"/>
    <mergeCell ref="R95:Y95"/>
    <mergeCell ref="Z95:AC95"/>
    <mergeCell ref="AD95:AK95"/>
    <mergeCell ref="AL95:AO95"/>
    <mergeCell ref="A34:AT34"/>
    <mergeCell ref="A63:AT66"/>
    <mergeCell ref="A67:AT70"/>
    <mergeCell ref="A75:AT77"/>
    <mergeCell ref="A78:AT80"/>
    <mergeCell ref="A81:AT84"/>
    <mergeCell ref="A19:P19"/>
    <mergeCell ref="A29:AT29"/>
    <mergeCell ref="A30:AT30"/>
    <mergeCell ref="A31:AT31"/>
    <mergeCell ref="A32:AT32"/>
    <mergeCell ref="A33:AT33"/>
    <mergeCell ref="AM8:AT8"/>
    <mergeCell ref="A10:P10"/>
    <mergeCell ref="A11:P11"/>
    <mergeCell ref="A14:P14"/>
    <mergeCell ref="A15:P15"/>
    <mergeCell ref="A18:P18"/>
    <mergeCell ref="A2:P2"/>
    <mergeCell ref="AH2:AT2"/>
    <mergeCell ref="A4:P4"/>
    <mergeCell ref="AH4:AT4"/>
    <mergeCell ref="A6:P6"/>
    <mergeCell ref="AM6:AT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Mujkic</dc:creator>
  <cp:lastModifiedBy>Amela Mujkic</cp:lastModifiedBy>
  <dcterms:created xsi:type="dcterms:W3CDTF">2015-08-19T13:29:33Z</dcterms:created>
  <dcterms:modified xsi:type="dcterms:W3CDTF">2015-08-19T13:30:21Z</dcterms:modified>
</cp:coreProperties>
</file>